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060" windowHeight="8595" activeTab="1"/>
  </bookViews>
  <sheets>
    <sheet name="стоки 2016 г." sheetId="1" r:id="rId1"/>
    <sheet name="вода 2016 г." sheetId="2" r:id="rId2"/>
  </sheets>
  <definedNames/>
  <calcPr fullCalcOnLoad="1" refMode="R1C1"/>
</workbook>
</file>

<file path=xl/sharedStrings.xml><?xml version="1.0" encoding="utf-8"?>
<sst xmlns="http://schemas.openxmlformats.org/spreadsheetml/2006/main" count="743" uniqueCount="286">
  <si>
    <t>№</t>
  </si>
  <si>
    <t>Наименование статей затрат</t>
  </si>
  <si>
    <t>Ед.измер.</t>
  </si>
  <si>
    <t>11 мес 06г</t>
  </si>
  <si>
    <t>1мес 07 г.</t>
  </si>
  <si>
    <t>тыс.тенге</t>
  </si>
  <si>
    <t>ГСМ</t>
  </si>
  <si>
    <t xml:space="preserve">Зап.части и ремонт авто </t>
  </si>
  <si>
    <t>Энергия покупная</t>
  </si>
  <si>
    <t>Заработная плата</t>
  </si>
  <si>
    <t>Износ основных средств</t>
  </si>
  <si>
    <t>Прочие затраты,в т.ч.</t>
  </si>
  <si>
    <t>коммунальные услуги</t>
  </si>
  <si>
    <t>Общие и административные в т.ч.</t>
  </si>
  <si>
    <t>Бланки, канцелярские товары</t>
  </si>
  <si>
    <t>Периодическая печать</t>
  </si>
  <si>
    <t>Всего затрат</t>
  </si>
  <si>
    <t>2.1</t>
  </si>
  <si>
    <t>2.2</t>
  </si>
  <si>
    <t>6.1</t>
  </si>
  <si>
    <t>6.2</t>
  </si>
  <si>
    <t>6.3</t>
  </si>
  <si>
    <t>6.5</t>
  </si>
  <si>
    <t>6.7</t>
  </si>
  <si>
    <t>6.10</t>
  </si>
  <si>
    <t>6.11</t>
  </si>
  <si>
    <t>6.12</t>
  </si>
  <si>
    <t>6.13</t>
  </si>
  <si>
    <t>6.14</t>
  </si>
  <si>
    <t>6.15</t>
  </si>
  <si>
    <t>6.16</t>
  </si>
  <si>
    <t>1.1</t>
  </si>
  <si>
    <t>1.2</t>
  </si>
  <si>
    <t>1.3</t>
  </si>
  <si>
    <t>1.4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</si>
  <si>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</si>
  <si>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</si>
  <si>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</si>
  <si>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</si>
  <si>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</si>
  <si>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</si>
  <si>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</si>
  <si>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</si>
  <si>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</si>
  <si>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</si>
  <si>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</si>
  <si>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</si>
  <si>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</si>
  <si>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</si>
  <si>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</si>
  <si>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</si>
  <si>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</si>
  <si>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</si>
  <si>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</si>
  <si>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</si>
  <si>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</si>
  <si>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6.4</t>
  </si>
  <si>
    <t>6.6</t>
  </si>
  <si>
    <t>6.8</t>
  </si>
  <si>
    <t>6.9</t>
  </si>
  <si>
    <t>III</t>
  </si>
  <si>
    <t>Расходы периода.всего</t>
  </si>
  <si>
    <t>II</t>
  </si>
  <si>
    <t>Затраты на оказание услуг, всего</t>
  </si>
  <si>
    <t>Ремонт, в т.ч.</t>
  </si>
  <si>
    <t>Затраты на оплату труда, в т.ч.</t>
  </si>
  <si>
    <t>Материальные затраты: в т.ч.</t>
  </si>
  <si>
    <t>6.17</t>
  </si>
  <si>
    <t>Ремонт компьютеров и множительной техники</t>
  </si>
  <si>
    <t>Услуги ф-ла ГКП "Кокшетау Жылу"</t>
  </si>
  <si>
    <t>тыс. тенге</t>
  </si>
  <si>
    <t>Амортизация</t>
  </si>
  <si>
    <t>I</t>
  </si>
  <si>
    <t>1.5</t>
  </si>
  <si>
    <t>4.1</t>
  </si>
  <si>
    <t>5.22</t>
  </si>
  <si>
    <t>5.23</t>
  </si>
  <si>
    <t>6.18</t>
  </si>
  <si>
    <t>Аттестация работников</t>
  </si>
  <si>
    <t>Лабораторные исследования</t>
  </si>
  <si>
    <t>Обучение</t>
  </si>
  <si>
    <t>Проездные билеты</t>
  </si>
  <si>
    <t>Проведение экологического контроля</t>
  </si>
  <si>
    <t>Дезинфекция</t>
  </si>
  <si>
    <t>Актуализация нормативных документов</t>
  </si>
  <si>
    <t>5.24</t>
  </si>
  <si>
    <t>5.25</t>
  </si>
  <si>
    <t>5.26</t>
  </si>
  <si>
    <t>5.27</t>
  </si>
  <si>
    <t>5.28</t>
  </si>
  <si>
    <t>5.29</t>
  </si>
  <si>
    <t>Услуги вооруженной охраны</t>
  </si>
  <si>
    <t>Услуги связи</t>
  </si>
  <si>
    <t>Обследование строений</t>
  </si>
  <si>
    <t>Налоги</t>
  </si>
  <si>
    <t>Програмное сопровождение</t>
  </si>
  <si>
    <t>Прочие</t>
  </si>
  <si>
    <t>6.19</t>
  </si>
  <si>
    <t>6.20</t>
  </si>
  <si>
    <t>6.21</t>
  </si>
  <si>
    <t>6.22</t>
  </si>
  <si>
    <t>Прибыль</t>
  </si>
  <si>
    <t>IV</t>
  </si>
  <si>
    <t>Всего доходов</t>
  </si>
  <si>
    <t>Необоснованно полученный доход</t>
  </si>
  <si>
    <t>Доход за минусом необоснованно полученного дохода</t>
  </si>
  <si>
    <t>Забор воды из поверхностных источников</t>
  </si>
  <si>
    <t>тыс.м3</t>
  </si>
  <si>
    <t>Забор воды из подземных источников</t>
  </si>
  <si>
    <t>V</t>
  </si>
  <si>
    <t>VI</t>
  </si>
  <si>
    <t>VII</t>
  </si>
  <si>
    <t>VIII</t>
  </si>
  <si>
    <t>IX</t>
  </si>
  <si>
    <t>X</t>
  </si>
  <si>
    <t>XI</t>
  </si>
  <si>
    <t>Объемы оказанных услуг</t>
  </si>
  <si>
    <t>Нормативные потери</t>
  </si>
  <si>
    <t>%</t>
  </si>
  <si>
    <t>Тариф (без НДС)</t>
  </si>
  <si>
    <t>тенге за м3</t>
  </si>
  <si>
    <t>Справочно :</t>
  </si>
  <si>
    <t>7</t>
  </si>
  <si>
    <t>Средняя численность персонала</t>
  </si>
  <si>
    <t>чел</t>
  </si>
  <si>
    <t>7.1</t>
  </si>
  <si>
    <t>в т.ч. Производственного персонала</t>
  </si>
  <si>
    <t>чел.</t>
  </si>
  <si>
    <t>7.2</t>
  </si>
  <si>
    <t>АУП</t>
  </si>
  <si>
    <t>8</t>
  </si>
  <si>
    <t>Средняя заработная плата всего:</t>
  </si>
  <si>
    <t xml:space="preserve">тенге </t>
  </si>
  <si>
    <t>8.1</t>
  </si>
  <si>
    <t>в тч. Производственного персонала</t>
  </si>
  <si>
    <t>тенге</t>
  </si>
  <si>
    <t>8.2</t>
  </si>
  <si>
    <t>Обязательное экологическое страхование</t>
  </si>
  <si>
    <t>№ п/п</t>
  </si>
  <si>
    <t>налог на имущество</t>
  </si>
  <si>
    <t>земельный налог</t>
  </si>
  <si>
    <t>налог на транспорт</t>
  </si>
  <si>
    <t>кол-во</t>
  </si>
  <si>
    <t>тыс.кВтч</t>
  </si>
  <si>
    <t>ТОО "КокшетауЭнергоЦентр"</t>
  </si>
  <si>
    <t>цена</t>
  </si>
  <si>
    <t>ТОО "ЭнергоПромТехно"</t>
  </si>
  <si>
    <t>ТОО "ЭнергоПромТехно" п. Станционный</t>
  </si>
  <si>
    <t>ТОО "Зеренда Энерго"</t>
  </si>
  <si>
    <t>Забор воды из скважин</t>
  </si>
  <si>
    <t>теплоснабжение ГКП на ПХВ "Кокшетау жылу"</t>
  </si>
  <si>
    <t>Гкал</t>
  </si>
  <si>
    <t>теплоснабжение ГКП на ПХВ "РК-2"</t>
  </si>
  <si>
    <t>Бензин АИ-92</t>
  </si>
  <si>
    <t>литр</t>
  </si>
  <si>
    <t>Газ сжиженный</t>
  </si>
  <si>
    <t>Бензин АИ-80</t>
  </si>
  <si>
    <t>Дизельное топливо</t>
  </si>
  <si>
    <t>Трансмиссионные, турбинное, трансформаторные, моторные масла</t>
  </si>
  <si>
    <t>Дизельное масло</t>
  </si>
  <si>
    <t>Масло моторное , машинное, гипоид и др</t>
  </si>
  <si>
    <t>Солидол, литол, смазка индустриальная</t>
  </si>
  <si>
    <t>Специальные масла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</si>
  <si>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</si>
  <si>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</si>
  <si>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</si>
  <si>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</si>
  <si>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</si>
  <si>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</si>
  <si>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</si>
  <si>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</si>
  <si>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</si>
  <si>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6.17.1</t>
  </si>
  <si>
    <t>6.17.2</t>
  </si>
  <si>
    <t>6.17.3</t>
  </si>
  <si>
    <t>Бензин АИ-95/96</t>
  </si>
  <si>
    <t>кг</t>
  </si>
  <si>
    <t>Ед. изм.</t>
  </si>
  <si>
    <t>Отклонения, тыс тенге</t>
  </si>
  <si>
    <t>Отклонения, %</t>
  </si>
  <si>
    <t>Причины отклонений</t>
  </si>
  <si>
    <t xml:space="preserve">Затраты на оказание услуг, всего </t>
  </si>
  <si>
    <t>1</t>
  </si>
  <si>
    <t>Сырье и материалы</t>
  </si>
  <si>
    <t>л</t>
  </si>
  <si>
    <t>Масло трансформаторное, трансмисионное, турбинное, моторное</t>
  </si>
  <si>
    <t>ТОО "Энерго Пром Техно"</t>
  </si>
  <si>
    <t>ТОО "Энерго Пром Техно" п. Станционный</t>
  </si>
  <si>
    <t>Вода покупная (РГП Казводхоз)</t>
  </si>
  <si>
    <t>Забор воды из Сергеевского в/хр</t>
  </si>
  <si>
    <t>Забор воды из Чаглинского в/хр.</t>
  </si>
  <si>
    <t>сумма</t>
  </si>
  <si>
    <t>2</t>
  </si>
  <si>
    <t>Затраты на оплату труда,в т.ч.</t>
  </si>
  <si>
    <t>Социальный налог</t>
  </si>
  <si>
    <t>3</t>
  </si>
  <si>
    <t>Амортизация  основных средств</t>
  </si>
  <si>
    <t xml:space="preserve"> </t>
  </si>
  <si>
    <t>4</t>
  </si>
  <si>
    <t>Ремонт,в т.ч.</t>
  </si>
  <si>
    <t>Кап. ремонт не приводящий к увеличению стоимости основных средств</t>
  </si>
  <si>
    <t>5</t>
  </si>
  <si>
    <t>Транспортировка грузов сторонними организациями</t>
  </si>
  <si>
    <t>Коммунальные услуги</t>
  </si>
  <si>
    <t>теплоснабжение ГКП на ПХВ "РК-2" по расчету</t>
  </si>
  <si>
    <t>ко-во</t>
  </si>
  <si>
    <t>по счетчику</t>
  </si>
  <si>
    <t>Вывоз мусора</t>
  </si>
  <si>
    <t>Командировочные расходы</t>
  </si>
  <si>
    <t>Тех.обслуживание видеонаблюдения, пожарной и тревожной сигнализации</t>
  </si>
  <si>
    <t>Охрана труда и т/б</t>
  </si>
  <si>
    <t xml:space="preserve">Медосмотр </t>
  </si>
  <si>
    <t xml:space="preserve">Спецпитание </t>
  </si>
  <si>
    <t>Экспертиза кранов, тепл.установок</t>
  </si>
  <si>
    <t>На воду с поверх.источников</t>
  </si>
  <si>
    <t>Налог на добычу полезных ископаемых</t>
  </si>
  <si>
    <t>Плата за эмиссии в окружающую среду</t>
  </si>
  <si>
    <t>Обязат. страхование ГПО раб-ля</t>
  </si>
  <si>
    <t>Страхование транспорта</t>
  </si>
  <si>
    <t>Канц,товары</t>
  </si>
  <si>
    <t>Рация ЛЕН</t>
  </si>
  <si>
    <t xml:space="preserve">Техосмотр </t>
  </si>
  <si>
    <t xml:space="preserve">Поверка приборов </t>
  </si>
  <si>
    <t>Кап.ремонт оборудования</t>
  </si>
  <si>
    <t>Ремонт транспортных средств</t>
  </si>
  <si>
    <t>Оценка оборудования и механизмов</t>
  </si>
  <si>
    <t>Расходы периода, всего</t>
  </si>
  <si>
    <t>6</t>
  </si>
  <si>
    <t>Зарплата админ.персонала</t>
  </si>
  <si>
    <t>Услуги банка</t>
  </si>
  <si>
    <t>Износ ОС</t>
  </si>
  <si>
    <t xml:space="preserve">ГСМ </t>
  </si>
  <si>
    <t>Налоги всего, в том числе:</t>
  </si>
  <si>
    <t>Налог на имущество</t>
  </si>
  <si>
    <t>Налог на транспорт</t>
  </si>
  <si>
    <t>Подшивка документов</t>
  </si>
  <si>
    <t xml:space="preserve">Программное сопровождение </t>
  </si>
  <si>
    <t>Расходы на содержание службы сбыта, в том числе:</t>
  </si>
  <si>
    <t>Забор воды, всего</t>
  </si>
  <si>
    <t>тыс. м3</t>
  </si>
  <si>
    <t>Обьемы оказываемых услуг</t>
  </si>
  <si>
    <t>ТАРИФ (без НДС )</t>
  </si>
  <si>
    <t>Средняя численость  персонала</t>
  </si>
  <si>
    <t>в т.ч. производственого  персонала</t>
  </si>
  <si>
    <t>Средняя заработная плата, всего</t>
  </si>
  <si>
    <t>Наименование организации: ГКП на ПХВ "Кокшетау Су Арнасы" при акимате г. Кокшетау</t>
  </si>
  <si>
    <t>Адрес: г. Кокшетау ул. Валиханова, 175А</t>
  </si>
  <si>
    <t>Телефон: 8 (7162) 77-07-67</t>
  </si>
  <si>
    <t>Адрес электронной почты: suarnasi@mail.ru</t>
  </si>
  <si>
    <t>Фамилия и телефон исполнителя: Дедкова С.В., тел. 77-07-67</t>
  </si>
  <si>
    <t>Генеральный директор:                                                                                                                                                   Альбеков З.И.</t>
  </si>
  <si>
    <t>Дата:      "_________"_____________________________2016 года</t>
  </si>
  <si>
    <t>М.П.</t>
  </si>
  <si>
    <t xml:space="preserve">Сведения об исполнении тарифной сметы на регулируемые услуги по подаче воды по распределительным сетям  за 2016 год. </t>
  </si>
  <si>
    <t>Наименование показателей</t>
  </si>
  <si>
    <t>Предусмотрено в утвержденной тарифной смете</t>
  </si>
  <si>
    <t>Фактически сложившиеся показатели тарифной сметы</t>
  </si>
  <si>
    <t>Масло моторное, машинное, гипоид и др.</t>
  </si>
  <si>
    <t>Плата на воду с поверх. источников</t>
  </si>
  <si>
    <t>испытание заземиляющих устройств</t>
  </si>
  <si>
    <t>Обяъявления</t>
  </si>
  <si>
    <t>Бланки, канц.товары</t>
  </si>
  <si>
    <t xml:space="preserve">Обучение </t>
  </si>
  <si>
    <t>Земельный налог</t>
  </si>
  <si>
    <t>Тех. обслуживание систем пож. безопасности</t>
  </si>
  <si>
    <t>VIII.2</t>
  </si>
  <si>
    <t>VIII.1</t>
  </si>
  <si>
    <t>Увеличение в связи с ростом цен на ГСМ</t>
  </si>
  <si>
    <t>Увеличение цен на материалы</t>
  </si>
  <si>
    <t>Произведено списание шин и аккумуляторов</t>
  </si>
  <si>
    <t>Увеличение расходов в связи с созданием абонентской службы</t>
  </si>
  <si>
    <t>Введение компенсирующего тарифа</t>
  </si>
  <si>
    <t>теплоснабжение ГКП на ПХВ "РК-2" по счетчику</t>
  </si>
  <si>
    <t>Сведения об исполнении тарифной сметы на регулируемые услуги по отводу сточных вод за 2016 год.</t>
  </si>
  <si>
    <t xml:space="preserve">Отклонения, тенге </t>
  </si>
  <si>
    <t xml:space="preserve">Отклонения, % </t>
  </si>
  <si>
    <t>Кап.ремонт не приводящий к увеличению стоимости основных средств</t>
  </si>
  <si>
    <t>Медосмотр</t>
  </si>
  <si>
    <t>Обяз.виды страхования ГПО работодателя</t>
  </si>
  <si>
    <t>Канцтовары</t>
  </si>
  <si>
    <t>Рация Лен</t>
  </si>
  <si>
    <t>6.12.1</t>
  </si>
  <si>
    <t>6.12.2</t>
  </si>
  <si>
    <t>6.12.3</t>
  </si>
  <si>
    <t>З/плата админ.персонала</t>
  </si>
  <si>
    <t>Зап.части и ремонт а/м</t>
  </si>
</sst>
</file>

<file path=xl/styles.xml><?xml version="1.0" encoding="utf-8"?>
<styleSheet xmlns="http://schemas.openxmlformats.org/spreadsheetml/2006/main">
  <numFmts count="51">
    <numFmt numFmtId="5" formatCode="&quot;₸&quot;#,##0;\-&quot;₸&quot;#,##0"/>
    <numFmt numFmtId="6" formatCode="&quot;₸&quot;#,##0;[Red]\-&quot;₸&quot;#,##0"/>
    <numFmt numFmtId="7" formatCode="&quot;₸&quot;#,##0.00;\-&quot;₸&quot;#,##0.00"/>
    <numFmt numFmtId="8" formatCode="&quot;₸&quot;#,##0.00;[Red]\-&quot;₸&quot;#,##0.00"/>
    <numFmt numFmtId="42" formatCode="_-&quot;₸&quot;* #,##0_-;\-&quot;₸&quot;* #,##0_-;_-&quot;₸&quot;* &quot;-&quot;_-;_-@_-"/>
    <numFmt numFmtId="41" formatCode="_-* #,##0_-;\-* #,##0_-;_-* &quot;-&quot;_-;_-@_-"/>
    <numFmt numFmtId="44" formatCode="_-&quot;₸&quot;* #,##0.00_-;\-&quot;₸&quot;* #,##0.00_-;_-&quot;₸&quot;* &quot;-&quot;??_-;_-@_-"/>
    <numFmt numFmtId="43" formatCode="_-* #,##0.00_-;\-* #,##0.00_-;_-* &quot;-&quot;??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₽_-;\-* #,##0\ _₽_-;_-* &quot;-&quot;\ _₽_-;_-@_-"/>
    <numFmt numFmtId="170" formatCode="_-* #,##0.00\ &quot;₸&quot;_-;\-* #,##0.00\ &quot;₸&quot;_-;_-* &quot;-&quot;??\ &quot;₸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&quot;Т&quot;* #,##0.00_-;\-&quot;Т&quot;* #,##0.00_-;_-&quot;Т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%"/>
    <numFmt numFmtId="196" formatCode="0.000"/>
    <numFmt numFmtId="197" formatCode="0.0000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2" fontId="2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7" fillId="33" borderId="12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33" borderId="12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4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/>
    </xf>
    <xf numFmtId="196" fontId="2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wrapText="1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/>
    </xf>
    <xf numFmtId="196" fontId="11" fillId="0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2" fontId="5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11" fillId="0" borderId="12" xfId="0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 vertical="top"/>
    </xf>
    <xf numFmtId="2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7" fillId="33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196" fontId="13" fillId="0" borderId="12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31"/>
  <sheetViews>
    <sheetView zoomScalePageLayoutView="0" workbookViewId="0" topLeftCell="A39">
      <selection activeCell="A84" sqref="A84:IV103"/>
    </sheetView>
  </sheetViews>
  <sheetFormatPr defaultColWidth="9.00390625" defaultRowHeight="12.75"/>
  <cols>
    <col min="1" max="1" width="5.75390625" style="0" customWidth="1"/>
    <col min="2" max="2" width="47.375" style="0" customWidth="1"/>
    <col min="3" max="3" width="10.75390625" style="43" customWidth="1"/>
    <col min="4" max="4" width="0.12890625" style="0" customWidth="1"/>
    <col min="5" max="5" width="0.12890625" style="0" hidden="1" customWidth="1"/>
    <col min="6" max="6" width="9.125" style="0" hidden="1" customWidth="1"/>
    <col min="7" max="7" width="13.625" style="54" customWidth="1"/>
    <col min="8" max="8" width="15.75390625" style="54" customWidth="1"/>
    <col min="9" max="9" width="13.25390625" style="39" customWidth="1"/>
    <col min="10" max="10" width="13.00390625" style="39" customWidth="1"/>
    <col min="11" max="11" width="43.00390625" style="0" customWidth="1"/>
  </cols>
  <sheetData>
    <row r="1" spans="1:10" ht="15.75">
      <c r="A1" s="1"/>
      <c r="B1" s="2" t="s">
        <v>273</v>
      </c>
      <c r="C1" s="40"/>
      <c r="D1" s="1"/>
      <c r="E1" s="1"/>
      <c r="F1" s="1"/>
      <c r="G1" s="51"/>
      <c r="H1" s="51"/>
      <c r="I1" s="38"/>
      <c r="J1" s="38"/>
    </row>
    <row r="2" spans="1:10" ht="15.75">
      <c r="A2" s="1"/>
      <c r="B2" s="2"/>
      <c r="C2" s="40"/>
      <c r="D2" s="1"/>
      <c r="E2" s="1"/>
      <c r="F2" s="1"/>
      <c r="G2" s="51"/>
      <c r="H2" s="51"/>
      <c r="I2" s="38"/>
      <c r="J2" s="38"/>
    </row>
    <row r="3" spans="1:10" ht="12.75">
      <c r="A3" s="1"/>
      <c r="B3" s="1"/>
      <c r="C3" s="40"/>
      <c r="D3" s="1"/>
      <c r="E3" s="1"/>
      <c r="F3" s="1"/>
      <c r="G3" s="51"/>
      <c r="H3" s="51"/>
      <c r="I3" s="38"/>
      <c r="J3" s="38"/>
    </row>
    <row r="4" spans="1:11" ht="12.75" customHeight="1">
      <c r="A4" s="174" t="s">
        <v>0</v>
      </c>
      <c r="B4" s="177" t="s">
        <v>1</v>
      </c>
      <c r="C4" s="177" t="s">
        <v>2</v>
      </c>
      <c r="D4" s="34"/>
      <c r="E4" s="34"/>
      <c r="F4" s="34"/>
      <c r="G4" s="151" t="s">
        <v>255</v>
      </c>
      <c r="H4" s="151" t="s">
        <v>256</v>
      </c>
      <c r="I4" s="172" t="s">
        <v>274</v>
      </c>
      <c r="J4" s="172" t="s">
        <v>275</v>
      </c>
      <c r="K4" s="173" t="s">
        <v>180</v>
      </c>
    </row>
    <row r="5" spans="1:11" ht="12.75" customHeight="1">
      <c r="A5" s="175"/>
      <c r="B5" s="178"/>
      <c r="C5" s="178"/>
      <c r="D5" s="35"/>
      <c r="E5" s="35"/>
      <c r="F5" s="35"/>
      <c r="G5" s="152"/>
      <c r="H5" s="152"/>
      <c r="I5" s="172"/>
      <c r="J5" s="172"/>
      <c r="K5" s="173"/>
    </row>
    <row r="6" spans="1:11" ht="33.75" customHeight="1">
      <c r="A6" s="176"/>
      <c r="B6" s="179"/>
      <c r="C6" s="179"/>
      <c r="D6" s="32"/>
      <c r="E6" s="8" t="s">
        <v>3</v>
      </c>
      <c r="F6" s="33" t="s">
        <v>4</v>
      </c>
      <c r="G6" s="153"/>
      <c r="H6" s="153"/>
      <c r="I6" s="172"/>
      <c r="J6" s="172"/>
      <c r="K6" s="173"/>
    </row>
    <row r="7" spans="1:11" ht="12.75">
      <c r="A7" s="128">
        <v>1</v>
      </c>
      <c r="B7" s="130">
        <v>2</v>
      </c>
      <c r="C7" s="130">
        <v>3</v>
      </c>
      <c r="D7" s="129">
        <v>4</v>
      </c>
      <c r="E7" s="129"/>
      <c r="F7" s="129"/>
      <c r="G7" s="139">
        <v>4</v>
      </c>
      <c r="H7" s="139">
        <v>5</v>
      </c>
      <c r="I7" s="140">
        <v>6</v>
      </c>
      <c r="J7" s="140">
        <v>7</v>
      </c>
      <c r="K7" s="44">
        <v>8</v>
      </c>
    </row>
    <row r="8" spans="1:11" ht="12.75">
      <c r="A8" s="6" t="s">
        <v>72</v>
      </c>
      <c r="B8" s="7" t="s">
        <v>63</v>
      </c>
      <c r="C8" s="28" t="s">
        <v>5</v>
      </c>
      <c r="D8" s="8">
        <v>132224.8</v>
      </c>
      <c r="E8" s="8"/>
      <c r="F8" s="8"/>
      <c r="G8" s="52">
        <f>G9+G57+G54+G58+G61</f>
        <v>248171.54</v>
      </c>
      <c r="H8" s="52">
        <f>H9+H54+H57+H58+H61</f>
        <v>799448.3318082099</v>
      </c>
      <c r="I8" s="19">
        <f aca="true" t="shared" si="0" ref="I8:I39">H8-G8</f>
        <v>551276.7918082098</v>
      </c>
      <c r="J8" s="19">
        <f aca="true" t="shared" si="1" ref="J8:J39">(I8/G8)*100</f>
        <v>222.13537934616107</v>
      </c>
      <c r="K8" s="50"/>
    </row>
    <row r="9" spans="1:11" ht="12.75">
      <c r="A9" s="4">
        <v>1</v>
      </c>
      <c r="B9" s="11" t="s">
        <v>66</v>
      </c>
      <c r="C9" s="41" t="s">
        <v>5</v>
      </c>
      <c r="D9" s="12">
        <v>79524.2</v>
      </c>
      <c r="E9" s="12"/>
      <c r="F9" s="12" t="e">
        <f>SUM(F10+F11+#REF!+F39+F40+#REF!)</f>
        <v>#REF!</v>
      </c>
      <c r="G9" s="13">
        <f>G10+G11+G39+G40</f>
        <v>96829.66</v>
      </c>
      <c r="H9" s="13">
        <f>H10+H11+H39+H40</f>
        <v>120802.23180820998</v>
      </c>
      <c r="I9" s="19">
        <f t="shared" si="0"/>
        <v>23972.571808209977</v>
      </c>
      <c r="J9" s="19">
        <f t="shared" si="1"/>
        <v>24.757467710007425</v>
      </c>
      <c r="K9" s="50"/>
    </row>
    <row r="10" spans="1:11" ht="15">
      <c r="A10" s="36" t="s">
        <v>31</v>
      </c>
      <c r="B10" s="14" t="s">
        <v>183</v>
      </c>
      <c r="C10" s="28" t="s">
        <v>5</v>
      </c>
      <c r="D10" s="15">
        <v>12860.5</v>
      </c>
      <c r="E10" s="15"/>
      <c r="F10" s="15">
        <v>919</v>
      </c>
      <c r="G10" s="53">
        <v>9525.94</v>
      </c>
      <c r="H10" s="53">
        <v>10618.4</v>
      </c>
      <c r="I10" s="17">
        <f t="shared" si="0"/>
        <v>1092.4599999999991</v>
      </c>
      <c r="J10" s="17">
        <f t="shared" si="1"/>
        <v>11.46826454922033</v>
      </c>
      <c r="K10" s="113" t="s">
        <v>268</v>
      </c>
    </row>
    <row r="11" spans="1:12" s="79" customFormat="1" ht="15">
      <c r="A11" s="74" t="s">
        <v>32</v>
      </c>
      <c r="B11" s="75" t="s">
        <v>6</v>
      </c>
      <c r="C11" s="76" t="s">
        <v>5</v>
      </c>
      <c r="D11" s="77">
        <v>5778</v>
      </c>
      <c r="E11" s="77"/>
      <c r="F11" s="77">
        <v>824.6</v>
      </c>
      <c r="G11" s="53">
        <v>9454.25</v>
      </c>
      <c r="H11" s="53">
        <f>H12+H15+H18+H21+H24+H27+H30+H33+H36</f>
        <v>10774.779826219998</v>
      </c>
      <c r="I11" s="53">
        <f t="shared" si="0"/>
        <v>1320.5298262199976</v>
      </c>
      <c r="J11" s="53">
        <f t="shared" si="1"/>
        <v>13.967578879551498</v>
      </c>
      <c r="K11" s="113" t="s">
        <v>267</v>
      </c>
      <c r="L11" s="78"/>
    </row>
    <row r="12" spans="1:12" s="60" customFormat="1" ht="12.75" hidden="1">
      <c r="A12" s="57" t="s">
        <v>163</v>
      </c>
      <c r="B12" s="55" t="s">
        <v>153</v>
      </c>
      <c r="C12" s="58" t="s">
        <v>5</v>
      </c>
      <c r="D12" s="59"/>
      <c r="E12" s="59"/>
      <c r="F12" s="59"/>
      <c r="G12" s="56">
        <v>2421.94</v>
      </c>
      <c r="H12" s="56">
        <f>H13*H14/1000</f>
        <v>2301.8709</v>
      </c>
      <c r="I12" s="141">
        <f t="shared" si="0"/>
        <v>-120.06910000000016</v>
      </c>
      <c r="J12" s="141">
        <f t="shared" si="1"/>
        <v>-4.957558816485965</v>
      </c>
      <c r="K12" s="137"/>
      <c r="L12" s="65"/>
    </row>
    <row r="13" spans="1:12" s="60" customFormat="1" ht="12.75" hidden="1">
      <c r="A13" s="57"/>
      <c r="B13" s="55" t="s">
        <v>142</v>
      </c>
      <c r="C13" s="58" t="s">
        <v>154</v>
      </c>
      <c r="D13" s="59"/>
      <c r="E13" s="59"/>
      <c r="F13" s="59"/>
      <c r="G13" s="56">
        <v>21700</v>
      </c>
      <c r="H13" s="56">
        <v>20615</v>
      </c>
      <c r="I13" s="141">
        <f t="shared" si="0"/>
        <v>-1085</v>
      </c>
      <c r="J13" s="141">
        <f t="shared" si="1"/>
        <v>-5</v>
      </c>
      <c r="K13" s="137"/>
      <c r="L13" s="65"/>
    </row>
    <row r="14" spans="1:12" s="60" customFormat="1" ht="12.75" hidden="1">
      <c r="A14" s="57"/>
      <c r="B14" s="55" t="s">
        <v>145</v>
      </c>
      <c r="C14" s="58" t="s">
        <v>135</v>
      </c>
      <c r="D14" s="59"/>
      <c r="E14" s="59"/>
      <c r="F14" s="59"/>
      <c r="G14" s="56">
        <v>111.61</v>
      </c>
      <c r="H14" s="56">
        <v>111.66</v>
      </c>
      <c r="I14" s="141">
        <f t="shared" si="0"/>
        <v>0.04999999999999716</v>
      </c>
      <c r="J14" s="141">
        <f t="shared" si="1"/>
        <v>0.04479885314935683</v>
      </c>
      <c r="K14" s="137"/>
      <c r="L14" s="65"/>
    </row>
    <row r="15" spans="1:12" s="60" customFormat="1" ht="12.75" hidden="1">
      <c r="A15" s="57" t="s">
        <v>164</v>
      </c>
      <c r="B15" s="55" t="s">
        <v>156</v>
      </c>
      <c r="C15" s="58" t="s">
        <v>5</v>
      </c>
      <c r="D15" s="59"/>
      <c r="E15" s="59"/>
      <c r="F15" s="59"/>
      <c r="G15" s="56">
        <v>3380.71</v>
      </c>
      <c r="H15" s="56">
        <f>H16*H17/1000</f>
        <v>3918.211255</v>
      </c>
      <c r="I15" s="141">
        <f t="shared" si="0"/>
        <v>537.5012550000001</v>
      </c>
      <c r="J15" s="141">
        <f t="shared" si="1"/>
        <v>15.899064249817348</v>
      </c>
      <c r="K15" s="137"/>
      <c r="L15" s="65"/>
    </row>
    <row r="16" spans="1:12" s="60" customFormat="1" ht="12.75" hidden="1">
      <c r="A16" s="57"/>
      <c r="B16" s="55" t="s">
        <v>142</v>
      </c>
      <c r="C16" s="58" t="s">
        <v>154</v>
      </c>
      <c r="D16" s="59"/>
      <c r="E16" s="59"/>
      <c r="F16" s="59"/>
      <c r="G16" s="56">
        <v>42546</v>
      </c>
      <c r="H16" s="56">
        <v>49143.5</v>
      </c>
      <c r="I16" s="141">
        <f t="shared" si="0"/>
        <v>6597.5</v>
      </c>
      <c r="J16" s="141">
        <f t="shared" si="1"/>
        <v>15.506745640013161</v>
      </c>
      <c r="K16" s="137"/>
      <c r="L16" s="65"/>
    </row>
    <row r="17" spans="1:12" s="60" customFormat="1" ht="12.75" hidden="1">
      <c r="A17" s="57"/>
      <c r="B17" s="55" t="s">
        <v>145</v>
      </c>
      <c r="C17" s="58" t="s">
        <v>135</v>
      </c>
      <c r="D17" s="59"/>
      <c r="E17" s="59"/>
      <c r="F17" s="59"/>
      <c r="G17" s="56">
        <v>79.46</v>
      </c>
      <c r="H17" s="56">
        <v>79.73</v>
      </c>
      <c r="I17" s="141">
        <f t="shared" si="0"/>
        <v>0.27000000000001023</v>
      </c>
      <c r="J17" s="141">
        <f t="shared" si="1"/>
        <v>0.33979360684622484</v>
      </c>
      <c r="K17" s="137"/>
      <c r="L17" s="65"/>
    </row>
    <row r="18" spans="1:12" s="60" customFormat="1" ht="12.75" hidden="1">
      <c r="A18" s="57" t="s">
        <v>165</v>
      </c>
      <c r="B18" s="55" t="s">
        <v>175</v>
      </c>
      <c r="C18" s="58" t="s">
        <v>5</v>
      </c>
      <c r="D18" s="59"/>
      <c r="E18" s="59"/>
      <c r="F18" s="59"/>
      <c r="G18" s="56">
        <v>3380.71</v>
      </c>
      <c r="H18" s="56"/>
      <c r="I18" s="141">
        <f t="shared" si="0"/>
        <v>-3380.71</v>
      </c>
      <c r="J18" s="141">
        <f t="shared" si="1"/>
        <v>-100</v>
      </c>
      <c r="K18" s="137"/>
      <c r="L18" s="65"/>
    </row>
    <row r="19" spans="1:12" s="60" customFormat="1" ht="12.75" hidden="1">
      <c r="A19" s="57"/>
      <c r="B19" s="55" t="s">
        <v>142</v>
      </c>
      <c r="C19" s="58" t="s">
        <v>154</v>
      </c>
      <c r="D19" s="59"/>
      <c r="E19" s="59"/>
      <c r="F19" s="59"/>
      <c r="G19" s="56">
        <v>42546</v>
      </c>
      <c r="H19" s="56"/>
      <c r="I19" s="141">
        <f t="shared" si="0"/>
        <v>-42546</v>
      </c>
      <c r="J19" s="141">
        <f t="shared" si="1"/>
        <v>-100</v>
      </c>
      <c r="K19" s="137"/>
      <c r="L19" s="65"/>
    </row>
    <row r="20" spans="1:12" s="60" customFormat="1" ht="12.75" hidden="1">
      <c r="A20" s="57"/>
      <c r="B20" s="55" t="s">
        <v>145</v>
      </c>
      <c r="C20" s="58" t="s">
        <v>135</v>
      </c>
      <c r="D20" s="59"/>
      <c r="E20" s="59"/>
      <c r="F20" s="59"/>
      <c r="G20" s="56">
        <v>79.46</v>
      </c>
      <c r="H20" s="56"/>
      <c r="I20" s="141">
        <f t="shared" si="0"/>
        <v>-79.46</v>
      </c>
      <c r="J20" s="141">
        <f t="shared" si="1"/>
        <v>-100</v>
      </c>
      <c r="K20" s="137"/>
      <c r="L20" s="65"/>
    </row>
    <row r="21" spans="1:12" s="60" customFormat="1" ht="12.75" hidden="1">
      <c r="A21" s="57" t="s">
        <v>165</v>
      </c>
      <c r="B21" s="55" t="s">
        <v>157</v>
      </c>
      <c r="C21" s="58" t="s">
        <v>5</v>
      </c>
      <c r="D21" s="59"/>
      <c r="E21" s="59"/>
      <c r="F21" s="59"/>
      <c r="G21" s="56">
        <v>2699.87</v>
      </c>
      <c r="H21" s="56">
        <f>H22*H23/1000</f>
        <v>3579.81988</v>
      </c>
      <c r="I21" s="141">
        <f t="shared" si="0"/>
        <v>879.9498800000001</v>
      </c>
      <c r="J21" s="141">
        <f t="shared" si="1"/>
        <v>32.592305555452675</v>
      </c>
      <c r="K21" s="137"/>
      <c r="L21" s="65"/>
    </row>
    <row r="22" spans="1:12" s="60" customFormat="1" ht="12.75" hidden="1">
      <c r="A22" s="57"/>
      <c r="B22" s="55" t="s">
        <v>142</v>
      </c>
      <c r="C22" s="58" t="s">
        <v>154</v>
      </c>
      <c r="D22" s="59"/>
      <c r="E22" s="59"/>
      <c r="F22" s="59"/>
      <c r="G22" s="56">
        <v>30545</v>
      </c>
      <c r="H22" s="56">
        <v>36244</v>
      </c>
      <c r="I22" s="141">
        <f t="shared" si="0"/>
        <v>5699</v>
      </c>
      <c r="J22" s="141">
        <f t="shared" si="1"/>
        <v>18.65771812080537</v>
      </c>
      <c r="K22" s="137"/>
      <c r="L22" s="65"/>
    </row>
    <row r="23" spans="1:12" s="60" customFormat="1" ht="12.75" hidden="1">
      <c r="A23" s="57"/>
      <c r="B23" s="55" t="s">
        <v>145</v>
      </c>
      <c r="C23" s="58" t="s">
        <v>135</v>
      </c>
      <c r="D23" s="59"/>
      <c r="E23" s="59"/>
      <c r="F23" s="59"/>
      <c r="G23" s="56">
        <v>88.39</v>
      </c>
      <c r="H23" s="56">
        <v>98.77</v>
      </c>
      <c r="I23" s="141">
        <f t="shared" si="0"/>
        <v>10.379999999999995</v>
      </c>
      <c r="J23" s="141">
        <f t="shared" si="1"/>
        <v>11.743409887996375</v>
      </c>
      <c r="K23" s="137"/>
      <c r="L23" s="65"/>
    </row>
    <row r="24" spans="1:12" s="60" customFormat="1" ht="25.5" hidden="1">
      <c r="A24" s="57" t="s">
        <v>166</v>
      </c>
      <c r="B24" s="66" t="s">
        <v>158</v>
      </c>
      <c r="C24" s="58" t="s">
        <v>5</v>
      </c>
      <c r="D24" s="59"/>
      <c r="E24" s="59"/>
      <c r="F24" s="59"/>
      <c r="G24" s="72">
        <v>239.42</v>
      </c>
      <c r="H24" s="72">
        <f>H25*H26/1000</f>
        <v>185.833336</v>
      </c>
      <c r="I24" s="142">
        <f t="shared" si="0"/>
        <v>-53.586663999999985</v>
      </c>
      <c r="J24" s="142">
        <f t="shared" si="1"/>
        <v>-22.38186617659343</v>
      </c>
      <c r="K24" s="137"/>
      <c r="L24" s="65"/>
    </row>
    <row r="25" spans="1:12" s="60" customFormat="1" ht="12.75" hidden="1">
      <c r="A25" s="57"/>
      <c r="B25" s="55" t="s">
        <v>142</v>
      </c>
      <c r="C25" s="58" t="s">
        <v>154</v>
      </c>
      <c r="D25" s="59"/>
      <c r="E25" s="59"/>
      <c r="F25" s="59"/>
      <c r="G25" s="56">
        <v>448</v>
      </c>
      <c r="H25" s="56">
        <v>495.82</v>
      </c>
      <c r="I25" s="141">
        <f t="shared" si="0"/>
        <v>47.81999999999999</v>
      </c>
      <c r="J25" s="141">
        <f t="shared" si="1"/>
        <v>10.67410714285714</v>
      </c>
      <c r="K25" s="137"/>
      <c r="L25" s="65"/>
    </row>
    <row r="26" spans="1:12" s="60" customFormat="1" ht="12.75" hidden="1">
      <c r="A26" s="57"/>
      <c r="B26" s="55" t="s">
        <v>145</v>
      </c>
      <c r="C26" s="58" t="s">
        <v>135</v>
      </c>
      <c r="D26" s="59"/>
      <c r="E26" s="59"/>
      <c r="F26" s="59"/>
      <c r="G26" s="56">
        <v>534.41</v>
      </c>
      <c r="H26" s="56">
        <v>374.8</v>
      </c>
      <c r="I26" s="141">
        <f t="shared" si="0"/>
        <v>-159.60999999999996</v>
      </c>
      <c r="J26" s="141">
        <f t="shared" si="1"/>
        <v>-29.8665818379147</v>
      </c>
      <c r="K26" s="137"/>
      <c r="L26" s="65"/>
    </row>
    <row r="27" spans="1:12" s="60" customFormat="1" ht="12.75" hidden="1">
      <c r="A27" s="57" t="s">
        <v>167</v>
      </c>
      <c r="B27" s="55" t="s">
        <v>159</v>
      </c>
      <c r="C27" s="58" t="s">
        <v>5</v>
      </c>
      <c r="D27" s="59"/>
      <c r="E27" s="59"/>
      <c r="F27" s="59"/>
      <c r="G27" s="56">
        <v>266.51</v>
      </c>
      <c r="H27" s="56">
        <f>H28*H29/1000</f>
        <v>293.2554625</v>
      </c>
      <c r="I27" s="141">
        <f t="shared" si="0"/>
        <v>26.74546250000003</v>
      </c>
      <c r="J27" s="141">
        <f t="shared" si="1"/>
        <v>10.03544426100335</v>
      </c>
      <c r="K27" s="137"/>
      <c r="L27" s="65"/>
    </row>
    <row r="28" spans="1:12" s="60" customFormat="1" ht="12.75" hidden="1">
      <c r="A28" s="57"/>
      <c r="B28" s="55" t="s">
        <v>142</v>
      </c>
      <c r="C28" s="58" t="s">
        <v>154</v>
      </c>
      <c r="D28" s="59"/>
      <c r="E28" s="59"/>
      <c r="F28" s="59"/>
      <c r="G28" s="56">
        <v>1033</v>
      </c>
      <c r="H28" s="56">
        <v>1251.25</v>
      </c>
      <c r="I28" s="141">
        <f t="shared" si="0"/>
        <v>218.25</v>
      </c>
      <c r="J28" s="141">
        <f t="shared" si="1"/>
        <v>21.127783155856726</v>
      </c>
      <c r="K28" s="137"/>
      <c r="L28" s="65"/>
    </row>
    <row r="29" spans="1:12" s="60" customFormat="1" ht="12.75" hidden="1">
      <c r="A29" s="57"/>
      <c r="B29" s="55" t="s">
        <v>145</v>
      </c>
      <c r="C29" s="58" t="s">
        <v>135</v>
      </c>
      <c r="D29" s="59"/>
      <c r="E29" s="59"/>
      <c r="F29" s="59"/>
      <c r="G29" s="56">
        <v>258</v>
      </c>
      <c r="H29" s="56">
        <v>234.37</v>
      </c>
      <c r="I29" s="141">
        <f t="shared" si="0"/>
        <v>-23.629999999999995</v>
      </c>
      <c r="J29" s="141">
        <f t="shared" si="1"/>
        <v>-9.158914728682168</v>
      </c>
      <c r="K29" s="137"/>
      <c r="L29" s="65"/>
    </row>
    <row r="30" spans="1:12" s="73" customFormat="1" ht="12.75" hidden="1">
      <c r="A30" s="68" t="s">
        <v>168</v>
      </c>
      <c r="B30" s="69" t="s">
        <v>160</v>
      </c>
      <c r="C30" s="70" t="s">
        <v>5</v>
      </c>
      <c r="D30" s="71"/>
      <c r="E30" s="71"/>
      <c r="F30" s="71"/>
      <c r="G30" s="56">
        <v>41.9</v>
      </c>
      <c r="H30" s="56">
        <f>H31*H32/1000</f>
        <v>52.369796519999994</v>
      </c>
      <c r="I30" s="56">
        <f t="shared" si="0"/>
        <v>10.469796519999996</v>
      </c>
      <c r="J30" s="56">
        <f t="shared" si="1"/>
        <v>24.987581193317414</v>
      </c>
      <c r="K30" s="137"/>
      <c r="L30" s="64"/>
    </row>
    <row r="31" spans="1:12" s="73" customFormat="1" ht="12.75" hidden="1">
      <c r="A31" s="68"/>
      <c r="B31" s="69" t="s">
        <v>142</v>
      </c>
      <c r="C31" s="70" t="s">
        <v>154</v>
      </c>
      <c r="D31" s="71"/>
      <c r="E31" s="71"/>
      <c r="F31" s="71"/>
      <c r="G31" s="56">
        <v>160</v>
      </c>
      <c r="H31" s="56">
        <v>152.19</v>
      </c>
      <c r="I31" s="56">
        <f t="shared" si="0"/>
        <v>-7.810000000000002</v>
      </c>
      <c r="J31" s="56">
        <f t="shared" si="1"/>
        <v>-4.881250000000001</v>
      </c>
      <c r="K31" s="137"/>
      <c r="L31" s="64"/>
    </row>
    <row r="32" spans="1:12" s="73" customFormat="1" ht="12.75" hidden="1">
      <c r="A32" s="68"/>
      <c r="B32" s="69" t="s">
        <v>145</v>
      </c>
      <c r="C32" s="70" t="s">
        <v>135</v>
      </c>
      <c r="D32" s="71"/>
      <c r="E32" s="71"/>
      <c r="F32" s="71"/>
      <c r="G32" s="56">
        <v>261.85</v>
      </c>
      <c r="H32" s="56">
        <v>344.108</v>
      </c>
      <c r="I32" s="56">
        <f t="shared" si="0"/>
        <v>82.25799999999998</v>
      </c>
      <c r="J32" s="56">
        <f t="shared" si="1"/>
        <v>31.414168417032645</v>
      </c>
      <c r="K32" s="137"/>
      <c r="L32" s="64"/>
    </row>
    <row r="33" spans="1:12" s="73" customFormat="1" ht="12.75" hidden="1">
      <c r="A33" s="68" t="s">
        <v>169</v>
      </c>
      <c r="B33" s="69" t="s">
        <v>161</v>
      </c>
      <c r="C33" s="70" t="s">
        <v>5</v>
      </c>
      <c r="D33" s="71"/>
      <c r="E33" s="71"/>
      <c r="F33" s="71"/>
      <c r="G33" s="56">
        <v>53.4</v>
      </c>
      <c r="H33" s="56">
        <f>H34*H35/1000</f>
        <v>92.50615499999999</v>
      </c>
      <c r="I33" s="56">
        <f t="shared" si="0"/>
        <v>39.106154999999994</v>
      </c>
      <c r="J33" s="56">
        <f t="shared" si="1"/>
        <v>73.23249999999999</v>
      </c>
      <c r="K33" s="137"/>
      <c r="L33" s="64"/>
    </row>
    <row r="34" spans="1:12" s="73" customFormat="1" ht="12.75" hidden="1">
      <c r="A34" s="68"/>
      <c r="B34" s="69" t="s">
        <v>142</v>
      </c>
      <c r="C34" s="70" t="s">
        <v>176</v>
      </c>
      <c r="D34" s="71"/>
      <c r="E34" s="71"/>
      <c r="F34" s="71"/>
      <c r="G34" s="56">
        <v>159.25</v>
      </c>
      <c r="H34" s="56">
        <v>182.35</v>
      </c>
      <c r="I34" s="56">
        <f t="shared" si="0"/>
        <v>23.099999999999994</v>
      </c>
      <c r="J34" s="56">
        <f t="shared" si="1"/>
        <v>14.505494505494502</v>
      </c>
      <c r="K34" s="137"/>
      <c r="L34" s="64"/>
    </row>
    <row r="35" spans="1:12" s="73" customFormat="1" ht="12.75" hidden="1">
      <c r="A35" s="68"/>
      <c r="B35" s="69" t="s">
        <v>145</v>
      </c>
      <c r="C35" s="70" t="s">
        <v>135</v>
      </c>
      <c r="D35" s="71"/>
      <c r="E35" s="71"/>
      <c r="F35" s="71"/>
      <c r="G35" s="56">
        <v>335.33</v>
      </c>
      <c r="H35" s="56">
        <v>507.3</v>
      </c>
      <c r="I35" s="56">
        <f t="shared" si="0"/>
        <v>171.97000000000003</v>
      </c>
      <c r="J35" s="56">
        <f t="shared" si="1"/>
        <v>51.28380997823041</v>
      </c>
      <c r="K35" s="137"/>
      <c r="L35" s="64"/>
    </row>
    <row r="36" spans="1:12" s="60" customFormat="1" ht="12.75" hidden="1">
      <c r="A36" s="57" t="s">
        <v>170</v>
      </c>
      <c r="B36" s="55" t="s">
        <v>162</v>
      </c>
      <c r="C36" s="58" t="s">
        <v>5</v>
      </c>
      <c r="D36" s="59"/>
      <c r="E36" s="59"/>
      <c r="F36" s="59"/>
      <c r="G36" s="56">
        <v>350.51</v>
      </c>
      <c r="H36" s="56">
        <f>H37*H38/1000</f>
        <v>350.91304119999995</v>
      </c>
      <c r="I36" s="141">
        <f t="shared" si="0"/>
        <v>0.40304119999996146</v>
      </c>
      <c r="J36" s="141">
        <f t="shared" si="1"/>
        <v>0.11498707597499686</v>
      </c>
      <c r="K36" s="137"/>
      <c r="L36" s="65"/>
    </row>
    <row r="37" spans="1:12" s="60" customFormat="1" ht="12.75" hidden="1">
      <c r="A37" s="57"/>
      <c r="B37" s="55" t="s">
        <v>142</v>
      </c>
      <c r="C37" s="58" t="s">
        <v>154</v>
      </c>
      <c r="D37" s="59"/>
      <c r="E37" s="59"/>
      <c r="F37" s="59"/>
      <c r="G37" s="56">
        <v>1002.8</v>
      </c>
      <c r="H37" s="56">
        <v>1038.02</v>
      </c>
      <c r="I37" s="141">
        <f t="shared" si="0"/>
        <v>35.22000000000003</v>
      </c>
      <c r="J37" s="141">
        <f t="shared" si="1"/>
        <v>3.5121659353809362</v>
      </c>
      <c r="K37" s="137"/>
      <c r="L37" s="65"/>
    </row>
    <row r="38" spans="1:12" s="60" customFormat="1" ht="12.75" hidden="1">
      <c r="A38" s="57"/>
      <c r="B38" s="55" t="s">
        <v>145</v>
      </c>
      <c r="C38" s="58" t="s">
        <v>135</v>
      </c>
      <c r="D38" s="59"/>
      <c r="E38" s="59"/>
      <c r="F38" s="59"/>
      <c r="G38" s="56">
        <v>349.55</v>
      </c>
      <c r="H38" s="56">
        <v>338.06</v>
      </c>
      <c r="I38" s="141">
        <f t="shared" si="0"/>
        <v>-11.490000000000009</v>
      </c>
      <c r="J38" s="141">
        <f t="shared" si="1"/>
        <v>-3.287083392933775</v>
      </c>
      <c r="K38" s="137"/>
      <c r="L38" s="65"/>
    </row>
    <row r="39" spans="1:11" ht="15">
      <c r="A39" s="36" t="s">
        <v>33</v>
      </c>
      <c r="B39" s="14" t="s">
        <v>7</v>
      </c>
      <c r="C39" s="28" t="s">
        <v>5</v>
      </c>
      <c r="D39" s="15">
        <v>1384.7</v>
      </c>
      <c r="E39" s="15"/>
      <c r="F39" s="15">
        <v>98.3</v>
      </c>
      <c r="G39" s="53">
        <v>1636.7</v>
      </c>
      <c r="H39" s="53">
        <v>8708.3</v>
      </c>
      <c r="I39" s="17">
        <f t="shared" si="0"/>
        <v>7071.599999999999</v>
      </c>
      <c r="J39" s="17">
        <f t="shared" si="1"/>
        <v>432.06452007087427</v>
      </c>
      <c r="K39" s="113" t="s">
        <v>269</v>
      </c>
    </row>
    <row r="40" spans="1:11" ht="12.75">
      <c r="A40" s="36" t="s">
        <v>34</v>
      </c>
      <c r="B40" s="14" t="s">
        <v>8</v>
      </c>
      <c r="C40" s="28" t="s">
        <v>5</v>
      </c>
      <c r="D40" s="15">
        <v>32237.8</v>
      </c>
      <c r="E40" s="15"/>
      <c r="F40" s="15">
        <v>3310.4</v>
      </c>
      <c r="G40" s="53">
        <v>76212.77</v>
      </c>
      <c r="H40" s="53">
        <f>H42+H45+H48+H51</f>
        <v>90700.75198198999</v>
      </c>
      <c r="I40" s="17">
        <f aca="true" t="shared" si="2" ref="I40:I71">H40-G40</f>
        <v>14487.981981989986</v>
      </c>
      <c r="J40" s="17">
        <f aca="true" t="shared" si="3" ref="J40:J71">(I40/G40)*100</f>
        <v>19.009913931733468</v>
      </c>
      <c r="K40" s="50"/>
    </row>
    <row r="41" spans="1:11" ht="12.75" hidden="1">
      <c r="A41" s="36"/>
      <c r="B41" s="55" t="s">
        <v>142</v>
      </c>
      <c r="C41" s="28" t="s">
        <v>143</v>
      </c>
      <c r="D41" s="15"/>
      <c r="E41" s="15"/>
      <c r="F41" s="15"/>
      <c r="G41" s="72">
        <f>G43+G46+G49+G52</f>
        <v>4084.37</v>
      </c>
      <c r="H41" s="56">
        <f>H43+H46+H49+H52</f>
        <v>4720.9929999999995</v>
      </c>
      <c r="I41" s="141">
        <f t="shared" si="2"/>
        <v>636.6229999999996</v>
      </c>
      <c r="J41" s="141">
        <f t="shared" si="3"/>
        <v>15.586810205735514</v>
      </c>
      <c r="K41" s="50"/>
    </row>
    <row r="42" spans="1:11" ht="12.75" hidden="1">
      <c r="A42" s="36"/>
      <c r="B42" s="55" t="s">
        <v>144</v>
      </c>
      <c r="C42" s="58" t="s">
        <v>5</v>
      </c>
      <c r="D42" s="15"/>
      <c r="E42" s="15"/>
      <c r="F42" s="15"/>
      <c r="G42" s="56">
        <v>74704.1</v>
      </c>
      <c r="H42" s="56">
        <f>H43*H44</f>
        <v>89189.9268843</v>
      </c>
      <c r="I42" s="141">
        <f t="shared" si="2"/>
        <v>14485.826884299997</v>
      </c>
      <c r="J42" s="141">
        <f t="shared" si="3"/>
        <v>19.390939565967592</v>
      </c>
      <c r="K42" s="50"/>
    </row>
    <row r="43" spans="1:11" ht="12.75" hidden="1">
      <c r="A43" s="36"/>
      <c r="B43" s="55" t="s">
        <v>142</v>
      </c>
      <c r="C43" s="58" t="s">
        <v>143</v>
      </c>
      <c r="D43" s="15"/>
      <c r="E43" s="15"/>
      <c r="F43" s="15"/>
      <c r="G43" s="56">
        <v>3992.74</v>
      </c>
      <c r="H43" s="56">
        <v>4629.09</v>
      </c>
      <c r="I43" s="141">
        <f t="shared" si="2"/>
        <v>636.3500000000004</v>
      </c>
      <c r="J43" s="141">
        <f t="shared" si="3"/>
        <v>15.937676883543642</v>
      </c>
      <c r="K43" s="50"/>
    </row>
    <row r="44" spans="1:11" ht="12.75" hidden="1">
      <c r="A44" s="36"/>
      <c r="B44" s="55" t="s">
        <v>145</v>
      </c>
      <c r="C44" s="58" t="s">
        <v>135</v>
      </c>
      <c r="D44" s="15"/>
      <c r="E44" s="15"/>
      <c r="F44" s="15"/>
      <c r="G44" s="56">
        <v>18.71</v>
      </c>
      <c r="H44" s="56">
        <v>19.26727</v>
      </c>
      <c r="I44" s="141">
        <f t="shared" si="2"/>
        <v>0.557269999999999</v>
      </c>
      <c r="J44" s="141">
        <f t="shared" si="3"/>
        <v>2.978460716194543</v>
      </c>
      <c r="K44" s="50"/>
    </row>
    <row r="45" spans="1:11" ht="12.75" hidden="1">
      <c r="A45" s="36"/>
      <c r="B45" s="55" t="s">
        <v>148</v>
      </c>
      <c r="C45" s="58" t="s">
        <v>5</v>
      </c>
      <c r="D45" s="15"/>
      <c r="E45" s="15"/>
      <c r="F45" s="15"/>
      <c r="G45" s="56">
        <v>275.68</v>
      </c>
      <c r="H45" s="56">
        <f>H46*H47</f>
        <v>248.19556200000002</v>
      </c>
      <c r="I45" s="141">
        <f t="shared" si="2"/>
        <v>-27.484437999999983</v>
      </c>
      <c r="J45" s="141">
        <f t="shared" si="3"/>
        <v>-9.969688769587922</v>
      </c>
      <c r="K45" s="50"/>
    </row>
    <row r="46" spans="1:11" ht="12.75" hidden="1">
      <c r="A46" s="36"/>
      <c r="B46" s="55" t="s">
        <v>142</v>
      </c>
      <c r="C46" s="58" t="s">
        <v>143</v>
      </c>
      <c r="D46" s="15"/>
      <c r="E46" s="15"/>
      <c r="F46" s="15"/>
      <c r="G46" s="56">
        <v>14.95</v>
      </c>
      <c r="H46" s="56">
        <v>13.346</v>
      </c>
      <c r="I46" s="141">
        <f t="shared" si="2"/>
        <v>-1.6039999999999992</v>
      </c>
      <c r="J46" s="141">
        <f t="shared" si="3"/>
        <v>-10.729096989966552</v>
      </c>
      <c r="K46" s="50"/>
    </row>
    <row r="47" spans="1:11" ht="12.75" hidden="1">
      <c r="A47" s="36"/>
      <c r="B47" s="55" t="s">
        <v>145</v>
      </c>
      <c r="C47" s="58" t="s">
        <v>135</v>
      </c>
      <c r="D47" s="15"/>
      <c r="E47" s="15"/>
      <c r="F47" s="15"/>
      <c r="G47" s="56">
        <v>18.44</v>
      </c>
      <c r="H47" s="56">
        <v>18.597</v>
      </c>
      <c r="I47" s="141">
        <f t="shared" si="2"/>
        <v>0.15700000000000003</v>
      </c>
      <c r="J47" s="141">
        <f t="shared" si="3"/>
        <v>0.8514099783080261</v>
      </c>
      <c r="K47" s="50"/>
    </row>
    <row r="48" spans="1:11" ht="12.75" hidden="1">
      <c r="A48" s="36"/>
      <c r="B48" s="55" t="s">
        <v>146</v>
      </c>
      <c r="C48" s="58" t="s">
        <v>5</v>
      </c>
      <c r="D48" s="15"/>
      <c r="E48" s="15"/>
      <c r="F48" s="15"/>
      <c r="G48" s="56">
        <v>900.01</v>
      </c>
      <c r="H48" s="56">
        <f>H49*H50</f>
        <v>934.14109769</v>
      </c>
      <c r="I48" s="141">
        <f t="shared" si="2"/>
        <v>34.13109769000005</v>
      </c>
      <c r="J48" s="141">
        <f t="shared" si="3"/>
        <v>3.7923020510883267</v>
      </c>
      <c r="K48" s="50"/>
    </row>
    <row r="49" spans="1:11" ht="12.75" hidden="1">
      <c r="A49" s="36"/>
      <c r="B49" s="55" t="s">
        <v>142</v>
      </c>
      <c r="C49" s="58" t="s">
        <v>143</v>
      </c>
      <c r="D49" s="15"/>
      <c r="E49" s="15"/>
      <c r="F49" s="15"/>
      <c r="G49" s="56">
        <v>56.63</v>
      </c>
      <c r="H49" s="56">
        <v>58.777</v>
      </c>
      <c r="I49" s="141">
        <f t="shared" si="2"/>
        <v>2.1469999999999985</v>
      </c>
      <c r="J49" s="141">
        <f t="shared" si="3"/>
        <v>3.791276708458411</v>
      </c>
      <c r="K49" s="50"/>
    </row>
    <row r="50" spans="1:11" ht="12.75" hidden="1">
      <c r="A50" s="36"/>
      <c r="B50" s="55" t="s">
        <v>145</v>
      </c>
      <c r="C50" s="58" t="s">
        <v>135</v>
      </c>
      <c r="D50" s="15"/>
      <c r="E50" s="15"/>
      <c r="F50" s="15"/>
      <c r="G50" s="56">
        <v>15.89</v>
      </c>
      <c r="H50" s="56">
        <v>15.89297</v>
      </c>
      <c r="I50" s="141">
        <f t="shared" si="2"/>
        <v>0.002969999999999473</v>
      </c>
      <c r="J50" s="141">
        <f t="shared" si="3"/>
        <v>0.018691000629323305</v>
      </c>
      <c r="K50" s="50"/>
    </row>
    <row r="51" spans="1:11" ht="12.75" hidden="1">
      <c r="A51" s="36"/>
      <c r="B51" s="55" t="s">
        <v>147</v>
      </c>
      <c r="C51" s="58" t="s">
        <v>5</v>
      </c>
      <c r="D51" s="15"/>
      <c r="E51" s="15"/>
      <c r="F51" s="15"/>
      <c r="G51" s="56">
        <v>332.98</v>
      </c>
      <c r="H51" s="56">
        <f>H52*H53</f>
        <v>328.488438</v>
      </c>
      <c r="I51" s="141">
        <f t="shared" si="2"/>
        <v>-4.4915620000000445</v>
      </c>
      <c r="J51" s="141">
        <f t="shared" si="3"/>
        <v>-1.3488984323382918</v>
      </c>
      <c r="K51" s="50"/>
    </row>
    <row r="52" spans="1:11" ht="12.75" hidden="1">
      <c r="A52" s="36"/>
      <c r="B52" s="55" t="s">
        <v>142</v>
      </c>
      <c r="C52" s="58" t="s">
        <v>143</v>
      </c>
      <c r="D52" s="15"/>
      <c r="E52" s="15"/>
      <c r="F52" s="15"/>
      <c r="G52" s="56">
        <v>20.05</v>
      </c>
      <c r="H52" s="56">
        <v>19.78</v>
      </c>
      <c r="I52" s="141">
        <f t="shared" si="2"/>
        <v>-0.2699999999999996</v>
      </c>
      <c r="J52" s="141">
        <f t="shared" si="3"/>
        <v>-1.3466334164588507</v>
      </c>
      <c r="K52" s="50"/>
    </row>
    <row r="53" spans="1:11" ht="12.75" hidden="1">
      <c r="A53" s="36"/>
      <c r="B53" s="55" t="s">
        <v>145</v>
      </c>
      <c r="C53" s="58" t="s">
        <v>135</v>
      </c>
      <c r="D53" s="15"/>
      <c r="E53" s="15"/>
      <c r="F53" s="15"/>
      <c r="G53" s="56">
        <v>16.61</v>
      </c>
      <c r="H53" s="56">
        <v>16.6071</v>
      </c>
      <c r="I53" s="141">
        <f t="shared" si="2"/>
        <v>-0.0029000000000003467</v>
      </c>
      <c r="J53" s="141">
        <f t="shared" si="3"/>
        <v>-0.017459361830224843</v>
      </c>
      <c r="K53" s="50"/>
    </row>
    <row r="54" spans="1:11" ht="17.25" customHeight="1">
      <c r="A54" s="36">
        <v>2</v>
      </c>
      <c r="B54" s="7" t="s">
        <v>65</v>
      </c>
      <c r="C54" s="42" t="s">
        <v>5</v>
      </c>
      <c r="D54" s="18">
        <v>42097.2</v>
      </c>
      <c r="E54" s="18"/>
      <c r="F54" s="18">
        <f>SUM(F55+F56)</f>
        <v>3187.6</v>
      </c>
      <c r="G54" s="82">
        <f>G55+G56</f>
        <v>115609.54000000001</v>
      </c>
      <c r="H54" s="82">
        <f>H55+H56</f>
        <v>125135.92</v>
      </c>
      <c r="I54" s="9">
        <f t="shared" si="2"/>
        <v>9526.37999999999</v>
      </c>
      <c r="J54" s="9">
        <f t="shared" si="3"/>
        <v>8.240133123961906</v>
      </c>
      <c r="K54" s="50"/>
    </row>
    <row r="55" spans="1:11" ht="30" hidden="1">
      <c r="A55" s="144" t="s">
        <v>17</v>
      </c>
      <c r="B55" s="98" t="s">
        <v>9</v>
      </c>
      <c r="C55" s="28" t="s">
        <v>5</v>
      </c>
      <c r="D55" s="15">
        <v>35675.6</v>
      </c>
      <c r="E55" s="15"/>
      <c r="F55" s="15">
        <v>2747.6</v>
      </c>
      <c r="G55" s="67">
        <v>105195.21</v>
      </c>
      <c r="H55" s="67">
        <v>112739.89</v>
      </c>
      <c r="I55" s="16">
        <f t="shared" si="2"/>
        <v>7544.679999999993</v>
      </c>
      <c r="J55" s="16">
        <f t="shared" si="3"/>
        <v>7.172075610667057</v>
      </c>
      <c r="K55" s="136" t="s">
        <v>270</v>
      </c>
    </row>
    <row r="56" spans="1:11" ht="12.75" hidden="1">
      <c r="A56" s="36" t="s">
        <v>18</v>
      </c>
      <c r="B56" s="14" t="s">
        <v>194</v>
      </c>
      <c r="C56" s="28" t="s">
        <v>5</v>
      </c>
      <c r="D56" s="15">
        <v>6421.6</v>
      </c>
      <c r="E56" s="15"/>
      <c r="F56" s="15">
        <v>440</v>
      </c>
      <c r="G56" s="67">
        <v>10414.33</v>
      </c>
      <c r="H56" s="67">
        <v>12396.03</v>
      </c>
      <c r="I56" s="16">
        <f t="shared" si="2"/>
        <v>1981.7000000000007</v>
      </c>
      <c r="J56" s="16">
        <f t="shared" si="3"/>
        <v>19.028588492970748</v>
      </c>
      <c r="K56" s="50"/>
    </row>
    <row r="57" spans="1:11" ht="17.25" customHeight="1">
      <c r="A57" s="36">
        <v>3</v>
      </c>
      <c r="B57" s="7" t="s">
        <v>71</v>
      </c>
      <c r="C57" s="28" t="s">
        <v>5</v>
      </c>
      <c r="D57" s="18">
        <v>3662</v>
      </c>
      <c r="E57" s="18"/>
      <c r="F57" s="18">
        <v>554.5</v>
      </c>
      <c r="G57" s="10">
        <v>23326.19</v>
      </c>
      <c r="H57" s="10">
        <v>530372.94</v>
      </c>
      <c r="I57" s="9">
        <f t="shared" si="2"/>
        <v>507046.74999999994</v>
      </c>
      <c r="J57" s="9">
        <f t="shared" si="3"/>
        <v>2173.7229697605994</v>
      </c>
      <c r="K57" s="50"/>
    </row>
    <row r="58" spans="1:11" ht="12.75">
      <c r="A58" s="36">
        <v>4</v>
      </c>
      <c r="B58" s="7" t="s">
        <v>64</v>
      </c>
      <c r="C58" s="28" t="s">
        <v>5</v>
      </c>
      <c r="D58" s="18">
        <v>401</v>
      </c>
      <c r="E58" s="18"/>
      <c r="F58" s="18">
        <v>1136</v>
      </c>
      <c r="G58" s="83">
        <v>3452.69</v>
      </c>
      <c r="H58" s="83">
        <f>H59</f>
        <v>4901.98</v>
      </c>
      <c r="I58" s="17">
        <f t="shared" si="2"/>
        <v>1449.2899999999995</v>
      </c>
      <c r="J58" s="17">
        <f t="shared" si="3"/>
        <v>41.97567693595427</v>
      </c>
      <c r="K58" s="50"/>
    </row>
    <row r="59" spans="1:11" ht="12.75" hidden="1">
      <c r="A59" s="164" t="s">
        <v>74</v>
      </c>
      <c r="B59" s="166" t="s">
        <v>276</v>
      </c>
      <c r="C59" s="168" t="s">
        <v>5</v>
      </c>
      <c r="D59" s="170"/>
      <c r="E59" s="5"/>
      <c r="F59" s="20"/>
      <c r="G59" s="162">
        <v>3452.69</v>
      </c>
      <c r="H59" s="162">
        <v>4901.98</v>
      </c>
      <c r="I59" s="156">
        <f t="shared" si="2"/>
        <v>1449.2899999999995</v>
      </c>
      <c r="J59" s="156">
        <f t="shared" si="3"/>
        <v>41.97567693595427</v>
      </c>
      <c r="K59" s="154"/>
    </row>
    <row r="60" spans="1:11" ht="12.75" hidden="1">
      <c r="A60" s="165"/>
      <c r="B60" s="167"/>
      <c r="C60" s="169"/>
      <c r="D60" s="171"/>
      <c r="E60" s="21"/>
      <c r="F60" s="22">
        <v>1136</v>
      </c>
      <c r="G60" s="163"/>
      <c r="H60" s="163"/>
      <c r="I60" s="157"/>
      <c r="J60" s="157"/>
      <c r="K60" s="155"/>
    </row>
    <row r="61" spans="1:11" ht="12.75">
      <c r="A61" s="36">
        <v>5</v>
      </c>
      <c r="B61" s="23" t="s">
        <v>11</v>
      </c>
      <c r="C61" s="28" t="s">
        <v>5</v>
      </c>
      <c r="D61" s="15">
        <v>6941.4</v>
      </c>
      <c r="E61" s="18"/>
      <c r="F61" s="18" t="e">
        <f>SUM(F62+#REF!+F63+#REF!+F71+#REF!+#REF!+F74+#REF!+F77+F78+F79+F80+F81+#REF!+#REF!+#REF!++#REF!+#REF!+#REF!+#REF!+#REF!+#REF!+#REF!+#REF!)</f>
        <v>#REF!</v>
      </c>
      <c r="G61" s="52">
        <f>G62+G63+G70+G71+G72+G73+G74+G75+G76+G77+G78+G79+G80+G81+G82</f>
        <v>8953.46</v>
      </c>
      <c r="H61" s="52">
        <f>H62+H63+H70+H71+H72+H73+H74+H75+H76+H77+H78+H79+H80+H81+H82</f>
        <v>18235.260000000002</v>
      </c>
      <c r="I61" s="19">
        <f aca="true" t="shared" si="4" ref="I61:I92">H61-G61</f>
        <v>9281.800000000003</v>
      </c>
      <c r="J61" s="19">
        <f aca="true" t="shared" si="5" ref="J61:J92">(I61/G61)*100</f>
        <v>103.66718564666624</v>
      </c>
      <c r="K61" s="50"/>
    </row>
    <row r="62" spans="1:11" ht="12.75" hidden="1">
      <c r="A62" s="36" t="s">
        <v>35</v>
      </c>
      <c r="B62" s="25" t="s">
        <v>92</v>
      </c>
      <c r="C62" s="26" t="s">
        <v>5</v>
      </c>
      <c r="D62" s="5">
        <v>112.2</v>
      </c>
      <c r="E62" s="5"/>
      <c r="F62" s="5">
        <v>6</v>
      </c>
      <c r="G62" s="53">
        <v>78.33</v>
      </c>
      <c r="H62" s="53">
        <v>429.03</v>
      </c>
      <c r="I62" s="17">
        <f t="shared" si="4"/>
        <v>350.7</v>
      </c>
      <c r="J62" s="17">
        <f t="shared" si="5"/>
        <v>447.72117962466484</v>
      </c>
      <c r="K62" s="50"/>
    </row>
    <row r="63" spans="1:11" ht="12.75" hidden="1">
      <c r="A63" s="36" t="s">
        <v>36</v>
      </c>
      <c r="B63" s="24" t="s">
        <v>203</v>
      </c>
      <c r="C63" s="41" t="s">
        <v>5</v>
      </c>
      <c r="D63" s="21">
        <v>988.4</v>
      </c>
      <c r="E63" s="21"/>
      <c r="F63" s="21">
        <v>93.2</v>
      </c>
      <c r="G63" s="53">
        <f>G64+G67</f>
        <v>2275.25</v>
      </c>
      <c r="H63" s="53">
        <f>H64+H67</f>
        <v>2673.4300000000003</v>
      </c>
      <c r="I63" s="17">
        <f t="shared" si="4"/>
        <v>398.1800000000003</v>
      </c>
      <c r="J63" s="17">
        <f t="shared" si="5"/>
        <v>17.500494451159227</v>
      </c>
      <c r="K63" s="50"/>
    </row>
    <row r="64" spans="1:11" s="60" customFormat="1" ht="12.75" hidden="1">
      <c r="A64" s="57"/>
      <c r="B64" s="61" t="s">
        <v>152</v>
      </c>
      <c r="C64" s="62" t="s">
        <v>5</v>
      </c>
      <c r="D64" s="63"/>
      <c r="E64" s="63"/>
      <c r="F64" s="63"/>
      <c r="G64" s="56">
        <v>695.24</v>
      </c>
      <c r="H64" s="56">
        <v>1040.93</v>
      </c>
      <c r="I64" s="141">
        <f t="shared" si="4"/>
        <v>345.69000000000005</v>
      </c>
      <c r="J64" s="141">
        <f t="shared" si="5"/>
        <v>49.72239802082735</v>
      </c>
      <c r="K64" s="138"/>
    </row>
    <row r="65" spans="1:11" s="60" customFormat="1" ht="12.75" hidden="1">
      <c r="A65" s="57"/>
      <c r="B65" s="61" t="s">
        <v>142</v>
      </c>
      <c r="C65" s="62" t="s">
        <v>151</v>
      </c>
      <c r="D65" s="63"/>
      <c r="E65" s="63"/>
      <c r="F65" s="63"/>
      <c r="G65" s="56">
        <v>82.88</v>
      </c>
      <c r="H65" s="56">
        <v>124.09</v>
      </c>
      <c r="I65" s="141">
        <f t="shared" si="4"/>
        <v>41.21000000000001</v>
      </c>
      <c r="J65" s="141">
        <f t="shared" si="5"/>
        <v>49.722490347490364</v>
      </c>
      <c r="K65" s="138"/>
    </row>
    <row r="66" spans="1:11" s="60" customFormat="1" ht="12.75" hidden="1">
      <c r="A66" s="57"/>
      <c r="B66" s="61" t="s">
        <v>145</v>
      </c>
      <c r="C66" s="62" t="s">
        <v>135</v>
      </c>
      <c r="D66" s="63"/>
      <c r="E66" s="63"/>
      <c r="F66" s="63"/>
      <c r="G66" s="56">
        <v>8388.5</v>
      </c>
      <c r="H66" s="56">
        <v>8388.5</v>
      </c>
      <c r="I66" s="141">
        <f t="shared" si="4"/>
        <v>0</v>
      </c>
      <c r="J66" s="141">
        <f t="shared" si="5"/>
        <v>0</v>
      </c>
      <c r="K66" s="138"/>
    </row>
    <row r="67" spans="1:11" s="60" customFormat="1" ht="12.75" hidden="1">
      <c r="A67" s="57"/>
      <c r="B67" s="61" t="s">
        <v>152</v>
      </c>
      <c r="C67" s="62" t="s">
        <v>5</v>
      </c>
      <c r="D67" s="63"/>
      <c r="E67" s="63"/>
      <c r="F67" s="63"/>
      <c r="G67" s="56">
        <v>1580.01</v>
      </c>
      <c r="H67" s="56">
        <v>1632.5</v>
      </c>
      <c r="I67" s="141">
        <f t="shared" si="4"/>
        <v>52.49000000000001</v>
      </c>
      <c r="J67" s="141">
        <f t="shared" si="5"/>
        <v>3.322130872589415</v>
      </c>
      <c r="K67" s="138"/>
    </row>
    <row r="68" spans="1:11" s="60" customFormat="1" ht="12.75" hidden="1">
      <c r="A68" s="57"/>
      <c r="B68" s="61" t="s">
        <v>142</v>
      </c>
      <c r="C68" s="62" t="s">
        <v>151</v>
      </c>
      <c r="D68" s="63"/>
      <c r="E68" s="63"/>
      <c r="F68" s="63"/>
      <c r="G68" s="56">
        <v>337.4</v>
      </c>
      <c r="H68" s="56">
        <v>348.61</v>
      </c>
      <c r="I68" s="141">
        <f t="shared" si="4"/>
        <v>11.210000000000036</v>
      </c>
      <c r="J68" s="141">
        <f t="shared" si="5"/>
        <v>3.322465915826923</v>
      </c>
      <c r="K68" s="138"/>
    </row>
    <row r="69" spans="1:11" s="60" customFormat="1" ht="12.75" hidden="1">
      <c r="A69" s="57"/>
      <c r="B69" s="61" t="s">
        <v>145</v>
      </c>
      <c r="C69" s="62" t="s">
        <v>135</v>
      </c>
      <c r="D69" s="63"/>
      <c r="E69" s="63"/>
      <c r="F69" s="63"/>
      <c r="G69" s="56">
        <v>4682.89</v>
      </c>
      <c r="H69" s="56">
        <v>4682.89</v>
      </c>
      <c r="I69" s="141">
        <f t="shared" si="4"/>
        <v>0</v>
      </c>
      <c r="J69" s="141">
        <f t="shared" si="5"/>
        <v>0</v>
      </c>
      <c r="K69" s="138"/>
    </row>
    <row r="70" spans="1:11" ht="12.75" hidden="1">
      <c r="A70" s="36" t="s">
        <v>37</v>
      </c>
      <c r="B70" s="24" t="s">
        <v>79</v>
      </c>
      <c r="C70" s="28" t="s">
        <v>5</v>
      </c>
      <c r="D70" s="15"/>
      <c r="E70" s="15"/>
      <c r="F70" s="15"/>
      <c r="G70" s="53">
        <v>6.81</v>
      </c>
      <c r="H70" s="53">
        <v>107.53</v>
      </c>
      <c r="I70" s="17">
        <f t="shared" si="4"/>
        <v>100.72</v>
      </c>
      <c r="J70" s="17">
        <f t="shared" si="5"/>
        <v>1479.0014684287814</v>
      </c>
      <c r="K70" s="50"/>
    </row>
    <row r="71" spans="1:11" ht="12.75" hidden="1">
      <c r="A71" s="36" t="s">
        <v>38</v>
      </c>
      <c r="B71" s="24" t="s">
        <v>210</v>
      </c>
      <c r="C71" s="28" t="s">
        <v>5</v>
      </c>
      <c r="D71" s="15">
        <v>257.1</v>
      </c>
      <c r="E71" s="15"/>
      <c r="F71" s="15">
        <v>42</v>
      </c>
      <c r="G71" s="53">
        <v>268.05</v>
      </c>
      <c r="H71" s="53">
        <v>565</v>
      </c>
      <c r="I71" s="17">
        <f t="shared" si="4"/>
        <v>296.95</v>
      </c>
      <c r="J71" s="17">
        <f t="shared" si="5"/>
        <v>110.78157060249953</v>
      </c>
      <c r="K71" s="50"/>
    </row>
    <row r="72" spans="1:11" ht="12.75" hidden="1">
      <c r="A72" s="36" t="s">
        <v>39</v>
      </c>
      <c r="B72" s="14" t="s">
        <v>277</v>
      </c>
      <c r="C72" s="28" t="s">
        <v>5</v>
      </c>
      <c r="D72" s="15"/>
      <c r="E72" s="15"/>
      <c r="F72" s="15">
        <v>17.2</v>
      </c>
      <c r="G72" s="53">
        <v>228.74</v>
      </c>
      <c r="H72" s="53">
        <v>334.26</v>
      </c>
      <c r="I72" s="17">
        <f t="shared" si="4"/>
        <v>105.51999999999998</v>
      </c>
      <c r="J72" s="17">
        <f t="shared" si="5"/>
        <v>46.13097840342746</v>
      </c>
      <c r="K72" s="50"/>
    </row>
    <row r="73" spans="1:11" ht="12.75" hidden="1">
      <c r="A73" s="36" t="s">
        <v>40</v>
      </c>
      <c r="B73" s="14" t="s">
        <v>212</v>
      </c>
      <c r="C73" s="28" t="s">
        <v>5</v>
      </c>
      <c r="D73" s="15">
        <v>219.6</v>
      </c>
      <c r="E73" s="15"/>
      <c r="F73" s="15">
        <v>43.7</v>
      </c>
      <c r="G73" s="53">
        <v>973.9</v>
      </c>
      <c r="H73" s="53">
        <v>1435.53</v>
      </c>
      <c r="I73" s="17">
        <f t="shared" si="4"/>
        <v>461.63</v>
      </c>
      <c r="J73" s="17">
        <f t="shared" si="5"/>
        <v>47.40014375192525</v>
      </c>
      <c r="K73" s="50"/>
    </row>
    <row r="74" spans="1:11" ht="12.75" hidden="1">
      <c r="A74" s="37" t="s">
        <v>41</v>
      </c>
      <c r="B74" s="14" t="s">
        <v>216</v>
      </c>
      <c r="C74" s="28" t="s">
        <v>5</v>
      </c>
      <c r="D74" s="15">
        <v>167.6</v>
      </c>
      <c r="E74" s="15"/>
      <c r="F74" s="15">
        <v>10.7</v>
      </c>
      <c r="G74" s="53">
        <v>843.45</v>
      </c>
      <c r="H74" s="53">
        <v>6059.61</v>
      </c>
      <c r="I74" s="17">
        <f t="shared" si="4"/>
        <v>5216.16</v>
      </c>
      <c r="J74" s="17">
        <f t="shared" si="5"/>
        <v>618.4314422905921</v>
      </c>
      <c r="K74" s="50"/>
    </row>
    <row r="75" spans="1:11" ht="12.75" hidden="1">
      <c r="A75" s="36" t="s">
        <v>42</v>
      </c>
      <c r="B75" s="14" t="s">
        <v>83</v>
      </c>
      <c r="C75" s="28" t="s">
        <v>5</v>
      </c>
      <c r="D75" s="15"/>
      <c r="E75" s="15"/>
      <c r="F75" s="15"/>
      <c r="G75" s="53">
        <v>23.19</v>
      </c>
      <c r="H75" s="53">
        <v>23.19</v>
      </c>
      <c r="I75" s="17">
        <f t="shared" si="4"/>
        <v>0</v>
      </c>
      <c r="J75" s="17">
        <f t="shared" si="5"/>
        <v>0</v>
      </c>
      <c r="K75" s="50"/>
    </row>
    <row r="76" spans="1:11" ht="12.75" hidden="1">
      <c r="A76" s="36" t="s">
        <v>43</v>
      </c>
      <c r="B76" s="14" t="s">
        <v>137</v>
      </c>
      <c r="C76" s="28" t="s">
        <v>5</v>
      </c>
      <c r="D76" s="15"/>
      <c r="E76" s="15"/>
      <c r="F76" s="15"/>
      <c r="G76" s="53">
        <v>1216.96</v>
      </c>
      <c r="H76" s="53">
        <v>3308.76</v>
      </c>
      <c r="I76" s="17">
        <f t="shared" si="4"/>
        <v>2091.8</v>
      </c>
      <c r="J76" s="17">
        <f t="shared" si="5"/>
        <v>171.88732579542466</v>
      </c>
      <c r="K76" s="50"/>
    </row>
    <row r="77" spans="1:11" ht="12.75" hidden="1">
      <c r="A77" s="36" t="s">
        <v>44</v>
      </c>
      <c r="B77" s="14" t="s">
        <v>278</v>
      </c>
      <c r="C77" s="28" t="s">
        <v>5</v>
      </c>
      <c r="D77" s="15">
        <v>766.3</v>
      </c>
      <c r="E77" s="15"/>
      <c r="F77" s="15">
        <v>25.6</v>
      </c>
      <c r="G77" s="53">
        <v>1419.78</v>
      </c>
      <c r="H77" s="53">
        <v>1419.78</v>
      </c>
      <c r="I77" s="17">
        <f t="shared" si="4"/>
        <v>0</v>
      </c>
      <c r="J77" s="17">
        <f t="shared" si="5"/>
        <v>0</v>
      </c>
      <c r="K77" s="50"/>
    </row>
    <row r="78" spans="1:11" ht="12.75" hidden="1">
      <c r="A78" s="36" t="s">
        <v>45</v>
      </c>
      <c r="B78" s="14" t="s">
        <v>218</v>
      </c>
      <c r="C78" s="28" t="s">
        <v>5</v>
      </c>
      <c r="D78" s="15"/>
      <c r="E78" s="15"/>
      <c r="F78" s="15">
        <v>18</v>
      </c>
      <c r="G78" s="53">
        <v>392.22</v>
      </c>
      <c r="H78" s="53">
        <v>502.19</v>
      </c>
      <c r="I78" s="17">
        <f t="shared" si="4"/>
        <v>109.96999999999997</v>
      </c>
      <c r="J78" s="17">
        <f t="shared" si="5"/>
        <v>28.037835908418735</v>
      </c>
      <c r="K78" s="50"/>
    </row>
    <row r="79" spans="1:11" ht="12.75" hidden="1">
      <c r="A79" s="37" t="s">
        <v>46</v>
      </c>
      <c r="B79" s="14" t="s">
        <v>279</v>
      </c>
      <c r="C79" s="28" t="s">
        <v>5</v>
      </c>
      <c r="D79" s="15"/>
      <c r="E79" s="15"/>
      <c r="F79" s="15">
        <v>2.6</v>
      </c>
      <c r="G79" s="53">
        <v>9.67</v>
      </c>
      <c r="H79" s="53">
        <v>95.31</v>
      </c>
      <c r="I79" s="17">
        <f t="shared" si="4"/>
        <v>85.64</v>
      </c>
      <c r="J79" s="17">
        <f t="shared" si="5"/>
        <v>885.6256463288521</v>
      </c>
      <c r="K79" s="50"/>
    </row>
    <row r="80" spans="1:11" ht="12.75" hidden="1">
      <c r="A80" s="36" t="s">
        <v>47</v>
      </c>
      <c r="B80" s="14" t="s">
        <v>280</v>
      </c>
      <c r="C80" s="28" t="s">
        <v>5</v>
      </c>
      <c r="D80" s="15">
        <v>8</v>
      </c>
      <c r="E80" s="15"/>
      <c r="F80" s="15">
        <v>0.7</v>
      </c>
      <c r="G80" s="53">
        <v>13.17</v>
      </c>
      <c r="H80" s="53">
        <v>18.57</v>
      </c>
      <c r="I80" s="17">
        <f t="shared" si="4"/>
        <v>5.4</v>
      </c>
      <c r="J80" s="17">
        <f t="shared" si="5"/>
        <v>41.002277904328025</v>
      </c>
      <c r="K80" s="50"/>
    </row>
    <row r="81" spans="1:11" ht="12.75" hidden="1">
      <c r="A81" s="36" t="s">
        <v>48</v>
      </c>
      <c r="B81" s="14" t="s">
        <v>221</v>
      </c>
      <c r="C81" s="28" t="s">
        <v>5</v>
      </c>
      <c r="D81" s="15">
        <v>16</v>
      </c>
      <c r="E81" s="15"/>
      <c r="F81" s="15">
        <v>1.5</v>
      </c>
      <c r="G81" s="53">
        <v>12.32</v>
      </c>
      <c r="H81" s="53">
        <v>11.87</v>
      </c>
      <c r="I81" s="17">
        <f t="shared" si="4"/>
        <v>-0.45000000000000107</v>
      </c>
      <c r="J81" s="17">
        <f t="shared" si="5"/>
        <v>-3.6525974025974115</v>
      </c>
      <c r="K81" s="50"/>
    </row>
    <row r="82" spans="1:11" ht="12.75" hidden="1">
      <c r="A82" s="36" t="s">
        <v>49</v>
      </c>
      <c r="B82" s="14" t="s">
        <v>224</v>
      </c>
      <c r="C82" s="28" t="s">
        <v>5</v>
      </c>
      <c r="D82" s="15"/>
      <c r="E82" s="15"/>
      <c r="F82" s="15">
        <v>81.35</v>
      </c>
      <c r="G82" s="53">
        <v>1191.62</v>
      </c>
      <c r="H82" s="53">
        <v>1251.2</v>
      </c>
      <c r="I82" s="17">
        <f t="shared" si="4"/>
        <v>59.580000000000155</v>
      </c>
      <c r="J82" s="17">
        <f t="shared" si="5"/>
        <v>4.9999160806297445</v>
      </c>
      <c r="K82" s="50"/>
    </row>
    <row r="83" spans="1:11" ht="12.75">
      <c r="A83" s="36" t="s">
        <v>62</v>
      </c>
      <c r="B83" s="7" t="s">
        <v>61</v>
      </c>
      <c r="C83" s="28" t="s">
        <v>5</v>
      </c>
      <c r="D83" s="18">
        <v>13240.7</v>
      </c>
      <c r="E83" s="29"/>
      <c r="F83" s="29" t="e">
        <f>SUM(#REF!+F84)</f>
        <v>#REF!</v>
      </c>
      <c r="G83" s="52">
        <f>G84</f>
        <v>13326.907000000001</v>
      </c>
      <c r="H83" s="52">
        <f>H84</f>
        <v>16356.290000000003</v>
      </c>
      <c r="I83" s="19">
        <f t="shared" si="4"/>
        <v>3029.3830000000016</v>
      </c>
      <c r="J83" s="19">
        <f t="shared" si="5"/>
        <v>22.731328432021034</v>
      </c>
      <c r="K83" s="50"/>
    </row>
    <row r="84" spans="1:11" ht="12.75" hidden="1">
      <c r="A84" s="36">
        <v>6</v>
      </c>
      <c r="B84" s="14" t="s">
        <v>13</v>
      </c>
      <c r="C84" s="28" t="s">
        <v>5</v>
      </c>
      <c r="D84" s="18">
        <v>7465.6</v>
      </c>
      <c r="E84" s="29"/>
      <c r="F84" s="29" t="e">
        <f>SUM(F85+F86+F87+F88+F89+F90+F94+#REF!+#REF!+#REF!+#REF!+#REF!+F98+#REF!+#REF!+#REF!+#REF!+#REF!+#REF!+#REF!+#REF!+#REF!+#REF!+#REF!)</f>
        <v>#REF!</v>
      </c>
      <c r="G84" s="52">
        <f>G85+G86+G87+G88+G89+G90+G94+G96+G97+G98+G99+G103</f>
        <v>13326.907000000001</v>
      </c>
      <c r="H84" s="52">
        <f>H85+H86+H87+H88+H89+H90+H94+H96+H97+H98+H99+H103+H95</f>
        <v>16356.290000000003</v>
      </c>
      <c r="I84" s="19">
        <f t="shared" si="4"/>
        <v>3029.3830000000016</v>
      </c>
      <c r="J84" s="19">
        <f t="shared" si="5"/>
        <v>22.731328432021034</v>
      </c>
      <c r="K84" s="50"/>
    </row>
    <row r="85" spans="1:11" ht="12.75" hidden="1">
      <c r="A85" s="36" t="s">
        <v>19</v>
      </c>
      <c r="B85" s="14" t="s">
        <v>284</v>
      </c>
      <c r="C85" s="28" t="s">
        <v>5</v>
      </c>
      <c r="D85" s="15">
        <v>5404.8</v>
      </c>
      <c r="E85" s="15"/>
      <c r="F85" s="15">
        <v>512</v>
      </c>
      <c r="G85" s="53">
        <v>6433.34</v>
      </c>
      <c r="H85" s="53">
        <v>6460.1</v>
      </c>
      <c r="I85" s="17">
        <f t="shared" si="4"/>
        <v>26.76000000000022</v>
      </c>
      <c r="J85" s="17">
        <f t="shared" si="5"/>
        <v>0.41595811817811923</v>
      </c>
      <c r="K85" s="50"/>
    </row>
    <row r="86" spans="1:11" ht="12.75" hidden="1">
      <c r="A86" s="36" t="s">
        <v>20</v>
      </c>
      <c r="B86" s="14" t="s">
        <v>194</v>
      </c>
      <c r="C86" s="28" t="s">
        <v>5</v>
      </c>
      <c r="D86" s="15">
        <v>972.9</v>
      </c>
      <c r="E86" s="15"/>
      <c r="F86" s="15">
        <v>88</v>
      </c>
      <c r="G86" s="53">
        <v>636.9</v>
      </c>
      <c r="H86" s="53">
        <v>808.72</v>
      </c>
      <c r="I86" s="17">
        <f t="shared" si="4"/>
        <v>171.82000000000005</v>
      </c>
      <c r="J86" s="17">
        <f t="shared" si="5"/>
        <v>26.97754749568222</v>
      </c>
      <c r="K86" s="50"/>
    </row>
    <row r="87" spans="1:11" ht="12.75" hidden="1">
      <c r="A87" s="36" t="s">
        <v>21</v>
      </c>
      <c r="B87" s="14" t="s">
        <v>229</v>
      </c>
      <c r="C87" s="28" t="s">
        <v>5</v>
      </c>
      <c r="D87" s="15">
        <v>91</v>
      </c>
      <c r="E87" s="15"/>
      <c r="F87" s="15">
        <v>36</v>
      </c>
      <c r="G87" s="53">
        <v>770.66</v>
      </c>
      <c r="H87" s="53">
        <v>1325.76</v>
      </c>
      <c r="I87" s="17">
        <f t="shared" si="4"/>
        <v>555.1</v>
      </c>
      <c r="J87" s="17">
        <f t="shared" si="5"/>
        <v>72.02916980250694</v>
      </c>
      <c r="K87" s="50"/>
    </row>
    <row r="88" spans="1:11" ht="12.75" hidden="1">
      <c r="A88" s="36" t="s">
        <v>56</v>
      </c>
      <c r="B88" s="14" t="s">
        <v>10</v>
      </c>
      <c r="C88" s="28" t="s">
        <v>5</v>
      </c>
      <c r="D88" s="15">
        <v>135</v>
      </c>
      <c r="E88" s="15"/>
      <c r="F88" s="15">
        <v>35</v>
      </c>
      <c r="G88" s="53">
        <v>668.18</v>
      </c>
      <c r="H88" s="53">
        <v>1529.71</v>
      </c>
      <c r="I88" s="17">
        <f t="shared" si="4"/>
        <v>861.5300000000001</v>
      </c>
      <c r="J88" s="17">
        <f t="shared" si="5"/>
        <v>128.93681343350596</v>
      </c>
      <c r="K88" s="50"/>
    </row>
    <row r="89" spans="1:11" ht="12.75" hidden="1">
      <c r="A89" s="36" t="s">
        <v>22</v>
      </c>
      <c r="B89" s="30" t="s">
        <v>68</v>
      </c>
      <c r="C89" s="26" t="s">
        <v>5</v>
      </c>
      <c r="D89" s="26">
        <v>173</v>
      </c>
      <c r="E89" s="26"/>
      <c r="F89" s="26">
        <v>16</v>
      </c>
      <c r="G89" s="84">
        <v>4.697</v>
      </c>
      <c r="H89" s="53">
        <v>7.09</v>
      </c>
      <c r="I89" s="17">
        <f t="shared" si="4"/>
        <v>2.393</v>
      </c>
      <c r="J89" s="17">
        <f t="shared" si="5"/>
        <v>50.94741324249521</v>
      </c>
      <c r="K89" s="50"/>
    </row>
    <row r="90" spans="1:11" ht="12.75" hidden="1">
      <c r="A90" s="36" t="s">
        <v>57</v>
      </c>
      <c r="B90" s="14" t="s">
        <v>12</v>
      </c>
      <c r="C90" s="28" t="s">
        <v>5</v>
      </c>
      <c r="D90" s="15">
        <v>93.9</v>
      </c>
      <c r="E90" s="15"/>
      <c r="F90" s="15">
        <v>13.5</v>
      </c>
      <c r="G90" s="53">
        <v>523.44</v>
      </c>
      <c r="H90" s="53">
        <v>585.73</v>
      </c>
      <c r="I90" s="17">
        <f t="shared" si="4"/>
        <v>62.289999999999964</v>
      </c>
      <c r="J90" s="17">
        <f t="shared" si="5"/>
        <v>11.90012226807274</v>
      </c>
      <c r="K90" s="50"/>
    </row>
    <row r="91" spans="1:11" s="60" customFormat="1" ht="12.75" hidden="1">
      <c r="A91" s="57"/>
      <c r="B91" s="55" t="s">
        <v>150</v>
      </c>
      <c r="C91" s="28" t="s">
        <v>5</v>
      </c>
      <c r="D91" s="59"/>
      <c r="E91" s="59"/>
      <c r="F91" s="59"/>
      <c r="G91" s="56">
        <v>523.44</v>
      </c>
      <c r="H91" s="56">
        <v>585.68</v>
      </c>
      <c r="I91" s="141">
        <f t="shared" si="4"/>
        <v>62.239999999999895</v>
      </c>
      <c r="J91" s="141">
        <f t="shared" si="5"/>
        <v>11.890570074889173</v>
      </c>
      <c r="K91" s="138"/>
    </row>
    <row r="92" spans="1:11" s="60" customFormat="1" ht="12.75" hidden="1">
      <c r="A92" s="57"/>
      <c r="B92" s="55" t="s">
        <v>142</v>
      </c>
      <c r="C92" s="58" t="s">
        <v>151</v>
      </c>
      <c r="D92" s="59"/>
      <c r="E92" s="59"/>
      <c r="F92" s="59"/>
      <c r="G92" s="56">
        <v>62.4</v>
      </c>
      <c r="H92" s="56">
        <v>69.82</v>
      </c>
      <c r="I92" s="141">
        <f t="shared" si="4"/>
        <v>7.419999999999995</v>
      </c>
      <c r="J92" s="141">
        <f t="shared" si="5"/>
        <v>11.891025641025632</v>
      </c>
      <c r="K92" s="138"/>
    </row>
    <row r="93" spans="1:11" s="60" customFormat="1" ht="12.75" hidden="1">
      <c r="A93" s="57"/>
      <c r="B93" s="55" t="s">
        <v>145</v>
      </c>
      <c r="C93" s="58" t="s">
        <v>135</v>
      </c>
      <c r="D93" s="59"/>
      <c r="E93" s="59"/>
      <c r="F93" s="59"/>
      <c r="G93" s="56">
        <v>8388.5</v>
      </c>
      <c r="H93" s="56">
        <v>8388.5</v>
      </c>
      <c r="I93" s="141">
        <f aca="true" t="shared" si="6" ref="I93:I124">H93-G93</f>
        <v>0</v>
      </c>
      <c r="J93" s="141">
        <f aca="true" t="shared" si="7" ref="J93:J124">(I93/G93)*100</f>
        <v>0</v>
      </c>
      <c r="K93" s="138"/>
    </row>
    <row r="94" spans="1:11" ht="12.75" hidden="1">
      <c r="A94" s="36" t="s">
        <v>23</v>
      </c>
      <c r="B94" s="14" t="s">
        <v>208</v>
      </c>
      <c r="C94" s="28" t="s">
        <v>5</v>
      </c>
      <c r="D94" s="15"/>
      <c r="E94" s="15"/>
      <c r="F94" s="15">
        <v>17</v>
      </c>
      <c r="G94" s="53">
        <v>70.01</v>
      </c>
      <c r="H94" s="53">
        <v>94.03</v>
      </c>
      <c r="I94" s="17">
        <f t="shared" si="6"/>
        <v>24.019999999999996</v>
      </c>
      <c r="J94" s="17">
        <f t="shared" si="7"/>
        <v>34.3093843736609</v>
      </c>
      <c r="K94" s="50"/>
    </row>
    <row r="95" spans="1:11" ht="12.75" hidden="1">
      <c r="A95" s="36" t="s">
        <v>58</v>
      </c>
      <c r="B95" s="14" t="s">
        <v>92</v>
      </c>
      <c r="C95" s="28" t="s">
        <v>5</v>
      </c>
      <c r="D95" s="15">
        <v>62</v>
      </c>
      <c r="E95" s="15"/>
      <c r="F95" s="15">
        <v>18</v>
      </c>
      <c r="G95" s="53">
        <v>243.39</v>
      </c>
      <c r="H95" s="53">
        <v>255.56</v>
      </c>
      <c r="I95" s="17">
        <f t="shared" si="6"/>
        <v>12.170000000000016</v>
      </c>
      <c r="J95" s="17">
        <f t="shared" si="7"/>
        <v>5.000205431611823</v>
      </c>
      <c r="K95" s="50"/>
    </row>
    <row r="96" spans="1:11" ht="12.75" hidden="1">
      <c r="A96" s="36" t="s">
        <v>59</v>
      </c>
      <c r="B96" s="14" t="s">
        <v>15</v>
      </c>
      <c r="C96" s="28" t="s">
        <v>5</v>
      </c>
      <c r="D96" s="15"/>
      <c r="E96" s="15"/>
      <c r="F96" s="15">
        <v>2.5</v>
      </c>
      <c r="G96" s="53">
        <v>17.68</v>
      </c>
      <c r="H96" s="53">
        <v>26.24</v>
      </c>
      <c r="I96" s="17">
        <f t="shared" si="6"/>
        <v>8.559999999999999</v>
      </c>
      <c r="J96" s="17">
        <f t="shared" si="7"/>
        <v>48.41628959276017</v>
      </c>
      <c r="K96" s="50"/>
    </row>
    <row r="97" spans="1:11" ht="15" customHeight="1" hidden="1">
      <c r="A97" s="36" t="s">
        <v>24</v>
      </c>
      <c r="B97" s="27" t="s">
        <v>14</v>
      </c>
      <c r="C97" s="28" t="s">
        <v>5</v>
      </c>
      <c r="D97" s="28">
        <v>201.6</v>
      </c>
      <c r="E97" s="28"/>
      <c r="F97" s="28">
        <v>18</v>
      </c>
      <c r="G97" s="53">
        <v>131.82</v>
      </c>
      <c r="H97" s="53">
        <v>256.17</v>
      </c>
      <c r="I97" s="17">
        <f t="shared" si="6"/>
        <v>124.35000000000002</v>
      </c>
      <c r="J97" s="17">
        <f t="shared" si="7"/>
        <v>94.33318161128814</v>
      </c>
      <c r="K97" s="50"/>
    </row>
    <row r="98" spans="1:11" ht="12.75" hidden="1">
      <c r="A98" s="36" t="s">
        <v>25</v>
      </c>
      <c r="B98" s="14" t="s">
        <v>6</v>
      </c>
      <c r="C98" s="28" t="s">
        <v>5</v>
      </c>
      <c r="D98" s="15"/>
      <c r="E98" s="15"/>
      <c r="F98" s="15">
        <v>39</v>
      </c>
      <c r="G98" s="53">
        <v>354.17</v>
      </c>
      <c r="H98" s="53">
        <v>372</v>
      </c>
      <c r="I98" s="17">
        <f t="shared" si="6"/>
        <v>17.829999999999984</v>
      </c>
      <c r="J98" s="17">
        <f t="shared" si="7"/>
        <v>5.034305559477083</v>
      </c>
      <c r="K98" s="50"/>
    </row>
    <row r="99" spans="1:11" ht="12.75" hidden="1">
      <c r="A99" s="36" t="s">
        <v>26</v>
      </c>
      <c r="B99" s="14" t="s">
        <v>94</v>
      </c>
      <c r="C99" s="28" t="s">
        <v>5</v>
      </c>
      <c r="D99" s="15"/>
      <c r="E99" s="15"/>
      <c r="F99" s="15"/>
      <c r="G99" s="53">
        <f>G100+G101+G102</f>
        <v>3644.33</v>
      </c>
      <c r="H99" s="53">
        <f>H100+H101+H102</f>
        <v>4534.9800000000005</v>
      </c>
      <c r="I99" s="17">
        <f t="shared" si="6"/>
        <v>890.6500000000005</v>
      </c>
      <c r="J99" s="17">
        <f t="shared" si="7"/>
        <v>24.439334527883055</v>
      </c>
      <c r="K99" s="50"/>
    </row>
    <row r="100" spans="1:11" s="60" customFormat="1" ht="12.75" hidden="1">
      <c r="A100" s="57" t="s">
        <v>281</v>
      </c>
      <c r="B100" s="55" t="s">
        <v>139</v>
      </c>
      <c r="C100" s="58" t="s">
        <v>5</v>
      </c>
      <c r="D100" s="59"/>
      <c r="E100" s="59"/>
      <c r="F100" s="59"/>
      <c r="G100" s="56">
        <v>1397.06</v>
      </c>
      <c r="H100" s="56">
        <v>2189.92</v>
      </c>
      <c r="I100" s="141">
        <f t="shared" si="6"/>
        <v>792.8600000000001</v>
      </c>
      <c r="J100" s="141">
        <f t="shared" si="7"/>
        <v>56.752036419337756</v>
      </c>
      <c r="K100" s="138"/>
    </row>
    <row r="101" spans="1:11" s="60" customFormat="1" ht="12.75" hidden="1">
      <c r="A101" s="57" t="s">
        <v>282</v>
      </c>
      <c r="B101" s="55" t="s">
        <v>140</v>
      </c>
      <c r="C101" s="58" t="s">
        <v>5</v>
      </c>
      <c r="D101" s="59"/>
      <c r="E101" s="59"/>
      <c r="F101" s="59"/>
      <c r="G101" s="56">
        <v>1961.48</v>
      </c>
      <c r="H101" s="56">
        <v>1927.67</v>
      </c>
      <c r="I101" s="141">
        <f t="shared" si="6"/>
        <v>-33.809999999999945</v>
      </c>
      <c r="J101" s="141">
        <f t="shared" si="7"/>
        <v>-1.7236984317963957</v>
      </c>
      <c r="K101" s="138"/>
    </row>
    <row r="102" spans="1:11" s="60" customFormat="1" ht="12.75" hidden="1">
      <c r="A102" s="57" t="s">
        <v>283</v>
      </c>
      <c r="B102" s="55" t="s">
        <v>141</v>
      </c>
      <c r="C102" s="58" t="s">
        <v>5</v>
      </c>
      <c r="D102" s="59"/>
      <c r="E102" s="59"/>
      <c r="F102" s="59"/>
      <c r="G102" s="56">
        <v>285.79</v>
      </c>
      <c r="H102" s="56">
        <v>417.39</v>
      </c>
      <c r="I102" s="141">
        <f t="shared" si="6"/>
        <v>131.59999999999997</v>
      </c>
      <c r="J102" s="141">
        <f t="shared" si="7"/>
        <v>46.047797333706555</v>
      </c>
      <c r="K102" s="138"/>
    </row>
    <row r="103" spans="1:11" ht="12.75" hidden="1">
      <c r="A103" s="36" t="s">
        <v>27</v>
      </c>
      <c r="B103" s="14" t="s">
        <v>95</v>
      </c>
      <c r="C103" s="28" t="s">
        <v>5</v>
      </c>
      <c r="D103" s="15"/>
      <c r="E103" s="15"/>
      <c r="F103" s="15"/>
      <c r="G103" s="53">
        <v>71.68</v>
      </c>
      <c r="H103" s="53">
        <v>100.2</v>
      </c>
      <c r="I103" s="17">
        <f t="shared" si="6"/>
        <v>28.519999999999996</v>
      </c>
      <c r="J103" s="17">
        <f t="shared" si="7"/>
        <v>39.787946428571416</v>
      </c>
      <c r="K103" s="50"/>
    </row>
    <row r="104" spans="1:11" ht="24" customHeight="1">
      <c r="A104" s="36" t="s">
        <v>60</v>
      </c>
      <c r="B104" s="31" t="s">
        <v>16</v>
      </c>
      <c r="C104" s="44" t="s">
        <v>5</v>
      </c>
      <c r="D104" s="45">
        <v>145465.5</v>
      </c>
      <c r="E104" s="46"/>
      <c r="F104" s="46" t="e">
        <f>SUM(#REF!+F83)</f>
        <v>#REF!</v>
      </c>
      <c r="G104" s="10">
        <v>261741.84</v>
      </c>
      <c r="H104" s="10">
        <f>H8+H83</f>
        <v>815804.6218082099</v>
      </c>
      <c r="I104" s="9">
        <f t="shared" si="6"/>
        <v>554062.78180821</v>
      </c>
      <c r="J104" s="9">
        <f t="shared" si="7"/>
        <v>211.68292459784416</v>
      </c>
      <c r="K104" s="50"/>
    </row>
    <row r="105" spans="1:11" ht="22.5" customHeight="1">
      <c r="A105" s="36" t="s">
        <v>102</v>
      </c>
      <c r="B105" s="31" t="s">
        <v>101</v>
      </c>
      <c r="C105" s="44" t="s">
        <v>5</v>
      </c>
      <c r="D105" s="45"/>
      <c r="E105" s="46"/>
      <c r="F105" s="46"/>
      <c r="G105" s="10">
        <v>9744.06</v>
      </c>
      <c r="H105" s="10">
        <f>H106-H104</f>
        <v>-548278.8518082099</v>
      </c>
      <c r="I105" s="9">
        <f t="shared" si="6"/>
        <v>-558022.91180821</v>
      </c>
      <c r="J105" s="9">
        <f t="shared" si="7"/>
        <v>-5726.800859274368</v>
      </c>
      <c r="K105" s="50"/>
    </row>
    <row r="106" spans="1:11" ht="24" customHeight="1">
      <c r="A106" s="36" t="s">
        <v>109</v>
      </c>
      <c r="B106" s="31" t="s">
        <v>103</v>
      </c>
      <c r="C106" s="44" t="s">
        <v>5</v>
      </c>
      <c r="D106" s="45"/>
      <c r="E106" s="46"/>
      <c r="F106" s="46"/>
      <c r="G106" s="10">
        <f>G107+G108</f>
        <v>271485.9</v>
      </c>
      <c r="H106" s="10">
        <v>267525.77</v>
      </c>
      <c r="I106" s="9">
        <f t="shared" si="6"/>
        <v>-3960.1300000000047</v>
      </c>
      <c r="J106" s="9">
        <f t="shared" si="7"/>
        <v>-1.4586871730723416</v>
      </c>
      <c r="K106" s="50"/>
    </row>
    <row r="107" spans="1:11" ht="21.75" customHeight="1">
      <c r="A107" s="36" t="s">
        <v>110</v>
      </c>
      <c r="B107" s="31" t="s">
        <v>104</v>
      </c>
      <c r="C107" s="44" t="s">
        <v>5</v>
      </c>
      <c r="D107" s="45"/>
      <c r="E107" s="46"/>
      <c r="F107" s="46"/>
      <c r="G107" s="10">
        <v>16770.84</v>
      </c>
      <c r="H107" s="10"/>
      <c r="I107" s="9">
        <f t="shared" si="6"/>
        <v>-16770.84</v>
      </c>
      <c r="J107" s="9">
        <f t="shared" si="7"/>
        <v>-100</v>
      </c>
      <c r="K107" s="50"/>
    </row>
    <row r="108" spans="1:11" ht="24" customHeight="1">
      <c r="A108" s="36" t="s">
        <v>111</v>
      </c>
      <c r="B108" s="31" t="s">
        <v>105</v>
      </c>
      <c r="C108" s="44" t="s">
        <v>5</v>
      </c>
      <c r="D108" s="45"/>
      <c r="E108" s="46"/>
      <c r="F108" s="46"/>
      <c r="G108" s="10">
        <v>254715.06</v>
      </c>
      <c r="H108" s="10">
        <v>267525.77</v>
      </c>
      <c r="I108" s="9">
        <f t="shared" si="6"/>
        <v>12810.710000000021</v>
      </c>
      <c r="J108" s="9">
        <f t="shared" si="7"/>
        <v>5.029427784913865</v>
      </c>
      <c r="K108" s="50"/>
    </row>
    <row r="109" spans="1:11" ht="12.75">
      <c r="A109" s="158" t="s">
        <v>112</v>
      </c>
      <c r="B109" s="160" t="s">
        <v>116</v>
      </c>
      <c r="C109" s="44" t="s">
        <v>107</v>
      </c>
      <c r="D109" s="45"/>
      <c r="E109" s="46"/>
      <c r="F109" s="46"/>
      <c r="G109" s="52">
        <v>4618.4</v>
      </c>
      <c r="H109" s="52">
        <v>4971.23</v>
      </c>
      <c r="I109" s="19">
        <f t="shared" si="6"/>
        <v>352.8299999999999</v>
      </c>
      <c r="J109" s="19">
        <f t="shared" si="7"/>
        <v>7.63965875627923</v>
      </c>
      <c r="K109" s="50"/>
    </row>
    <row r="110" spans="1:11" ht="12.75">
      <c r="A110" s="159"/>
      <c r="B110" s="161"/>
      <c r="C110" s="44" t="s">
        <v>5</v>
      </c>
      <c r="D110" s="45"/>
      <c r="E110" s="46"/>
      <c r="F110" s="46"/>
      <c r="G110" s="52">
        <v>254715.06</v>
      </c>
      <c r="H110" s="52">
        <f>H106</f>
        <v>267525.77</v>
      </c>
      <c r="I110" s="19">
        <f t="shared" si="6"/>
        <v>12810.710000000021</v>
      </c>
      <c r="J110" s="19">
        <f t="shared" si="7"/>
        <v>5.029427784913865</v>
      </c>
      <c r="K110" s="50"/>
    </row>
    <row r="111" spans="1:11" ht="12.75">
      <c r="A111" s="36" t="s">
        <v>113</v>
      </c>
      <c r="B111" s="31" t="s">
        <v>119</v>
      </c>
      <c r="C111" s="44" t="s">
        <v>120</v>
      </c>
      <c r="D111" s="6"/>
      <c r="E111" s="6"/>
      <c r="F111" s="6"/>
      <c r="G111" s="52">
        <v>55.15</v>
      </c>
      <c r="H111" s="52">
        <f>H110/H109</f>
        <v>53.81480438442801</v>
      </c>
      <c r="I111" s="19">
        <f t="shared" si="6"/>
        <v>-1.3351956155719904</v>
      </c>
      <c r="J111" s="19">
        <f t="shared" si="7"/>
        <v>-2.4210255948721495</v>
      </c>
      <c r="K111" s="50"/>
    </row>
    <row r="112" spans="1:11" ht="12.75">
      <c r="A112" s="36"/>
      <c r="B112" s="49" t="s">
        <v>121</v>
      </c>
      <c r="C112" s="44"/>
      <c r="D112" s="6"/>
      <c r="E112" s="6"/>
      <c r="F112" s="6"/>
      <c r="G112" s="53"/>
      <c r="H112" s="53"/>
      <c r="I112" s="17"/>
      <c r="J112" s="17"/>
      <c r="K112" s="50"/>
    </row>
    <row r="113" spans="1:11" ht="21" customHeight="1">
      <c r="A113" s="36" t="s">
        <v>122</v>
      </c>
      <c r="B113" s="49" t="s">
        <v>123</v>
      </c>
      <c r="C113" s="44" t="s">
        <v>124</v>
      </c>
      <c r="D113" s="6"/>
      <c r="E113" s="6"/>
      <c r="F113" s="6"/>
      <c r="G113" s="81">
        <f>G114+G115</f>
        <v>206</v>
      </c>
      <c r="H113" s="81">
        <f>H114+H115</f>
        <v>186</v>
      </c>
      <c r="I113" s="143">
        <f aca="true" t="shared" si="8" ref="I113:I118">H113-G113</f>
        <v>-20</v>
      </c>
      <c r="J113" s="16">
        <f aca="true" t="shared" si="9" ref="J113:J118">(I113/G113)*100</f>
        <v>-9.70873786407767</v>
      </c>
      <c r="K113" s="50"/>
    </row>
    <row r="114" spans="1:11" ht="25.5" customHeight="1">
      <c r="A114" s="36" t="s">
        <v>125</v>
      </c>
      <c r="B114" s="49" t="s">
        <v>126</v>
      </c>
      <c r="C114" s="44" t="s">
        <v>127</v>
      </c>
      <c r="D114" s="6"/>
      <c r="E114" s="6"/>
      <c r="F114" s="6"/>
      <c r="G114" s="81">
        <v>198</v>
      </c>
      <c r="H114" s="81">
        <v>178</v>
      </c>
      <c r="I114" s="143">
        <f t="shared" si="8"/>
        <v>-20</v>
      </c>
      <c r="J114" s="16">
        <f t="shared" si="9"/>
        <v>-10.1010101010101</v>
      </c>
      <c r="K114" s="50"/>
    </row>
    <row r="115" spans="1:11" ht="20.25" customHeight="1">
      <c r="A115" s="36" t="s">
        <v>128</v>
      </c>
      <c r="B115" s="49" t="s">
        <v>129</v>
      </c>
      <c r="C115" s="44" t="s">
        <v>124</v>
      </c>
      <c r="D115" s="6"/>
      <c r="E115" s="6"/>
      <c r="F115" s="6"/>
      <c r="G115" s="81">
        <v>8</v>
      </c>
      <c r="H115" s="81">
        <v>8</v>
      </c>
      <c r="I115" s="143">
        <f t="shared" si="8"/>
        <v>0</v>
      </c>
      <c r="J115" s="16">
        <f t="shared" si="9"/>
        <v>0</v>
      </c>
      <c r="K115" s="50"/>
    </row>
    <row r="116" spans="1:11" ht="18" customHeight="1">
      <c r="A116" s="36" t="s">
        <v>130</v>
      </c>
      <c r="B116" s="49" t="s">
        <v>131</v>
      </c>
      <c r="C116" s="44" t="s">
        <v>132</v>
      </c>
      <c r="D116" s="6"/>
      <c r="E116" s="6"/>
      <c r="F116" s="6"/>
      <c r="G116" s="81">
        <v>45157</v>
      </c>
      <c r="H116" s="81">
        <f>((H55+H85)/H113)/12*1000</f>
        <v>53405.01344086022</v>
      </c>
      <c r="I116" s="143">
        <f t="shared" si="8"/>
        <v>8248.013440860217</v>
      </c>
      <c r="J116" s="16">
        <f t="shared" si="9"/>
        <v>18.265193526718377</v>
      </c>
      <c r="K116" s="50"/>
    </row>
    <row r="117" spans="1:11" ht="18.75" customHeight="1">
      <c r="A117" s="36" t="s">
        <v>133</v>
      </c>
      <c r="B117" s="49" t="s">
        <v>134</v>
      </c>
      <c r="C117" s="44" t="s">
        <v>135</v>
      </c>
      <c r="D117" s="6"/>
      <c r="E117" s="6"/>
      <c r="F117" s="6"/>
      <c r="G117" s="81">
        <v>44274</v>
      </c>
      <c r="H117" s="81">
        <f>(H55/H114)/12*1000</f>
        <v>52780.847378277154</v>
      </c>
      <c r="I117" s="143">
        <f t="shared" si="8"/>
        <v>8506.847378277154</v>
      </c>
      <c r="J117" s="16">
        <f t="shared" si="9"/>
        <v>19.21409264642263</v>
      </c>
      <c r="K117" s="50"/>
    </row>
    <row r="118" spans="1:11" ht="20.25" customHeight="1">
      <c r="A118" s="36" t="s">
        <v>136</v>
      </c>
      <c r="B118" s="49" t="s">
        <v>129</v>
      </c>
      <c r="C118" s="44" t="s">
        <v>135</v>
      </c>
      <c r="D118" s="49"/>
      <c r="E118" s="49"/>
      <c r="F118" s="49"/>
      <c r="G118" s="81">
        <v>67014</v>
      </c>
      <c r="H118" s="81">
        <f>(H85/H115)/12*1000</f>
        <v>67292.70833333334</v>
      </c>
      <c r="I118" s="143">
        <f t="shared" si="8"/>
        <v>278.70833333334303</v>
      </c>
      <c r="J118" s="16">
        <f t="shared" si="9"/>
        <v>0.4158956834890367</v>
      </c>
      <c r="K118" s="50"/>
    </row>
    <row r="119" spans="1:10" ht="12.75" customHeight="1">
      <c r="A119" s="1"/>
      <c r="B119" s="145"/>
      <c r="C119" s="145"/>
      <c r="D119" s="145"/>
      <c r="E119" s="145"/>
      <c r="F119" s="145"/>
      <c r="G119" s="145"/>
      <c r="H119" s="145"/>
      <c r="I119" s="145"/>
      <c r="J119" s="145"/>
    </row>
    <row r="120" spans="1:10" ht="12.75" customHeight="1">
      <c r="A120" s="125" t="s">
        <v>245</v>
      </c>
      <c r="B120" s="2"/>
      <c r="C120" s="2"/>
      <c r="D120" s="47"/>
      <c r="E120" s="47"/>
      <c r="F120" s="88"/>
      <c r="G120" s="88"/>
      <c r="H120" s="88"/>
      <c r="I120" s="145"/>
      <c r="J120" s="145"/>
    </row>
    <row r="121" spans="1:10" ht="15.75">
      <c r="A121" s="125" t="s">
        <v>246</v>
      </c>
      <c r="B121" s="2"/>
      <c r="C121" s="2"/>
      <c r="D121" s="47"/>
      <c r="E121" s="47"/>
      <c r="F121" s="88"/>
      <c r="G121" s="88"/>
      <c r="H121" s="88"/>
      <c r="I121" s="47"/>
      <c r="J121" s="47"/>
    </row>
    <row r="122" spans="1:10" ht="15.75">
      <c r="A122" s="125" t="s">
        <v>247</v>
      </c>
      <c r="B122" s="125"/>
      <c r="C122" s="125"/>
      <c r="D122" s="124"/>
      <c r="E122" s="124"/>
      <c r="F122" s="88"/>
      <c r="G122" s="124"/>
      <c r="H122" s="88"/>
      <c r="I122" s="47"/>
      <c r="J122" s="47"/>
    </row>
    <row r="123" spans="1:10" ht="15.75">
      <c r="A123" s="125" t="s">
        <v>248</v>
      </c>
      <c r="B123" s="2"/>
      <c r="C123" s="2"/>
      <c r="D123" s="47"/>
      <c r="E123" s="47"/>
      <c r="F123" s="88"/>
      <c r="G123" s="88"/>
      <c r="H123" s="88"/>
      <c r="I123" s="48"/>
      <c r="J123" s="48"/>
    </row>
    <row r="124" spans="1:8" ht="15.75">
      <c r="A124" s="125" t="s">
        <v>249</v>
      </c>
      <c r="B124" s="2"/>
      <c r="C124" s="2"/>
      <c r="D124" s="47"/>
      <c r="E124" s="47"/>
      <c r="F124" s="88"/>
      <c r="G124" s="124"/>
      <c r="H124" s="88"/>
    </row>
    <row r="125" spans="1:8" ht="15.75">
      <c r="A125" s="85"/>
      <c r="B125" s="2"/>
      <c r="C125" s="2"/>
      <c r="D125" s="47"/>
      <c r="E125" s="47"/>
      <c r="F125" s="88"/>
      <c r="G125" s="124"/>
      <c r="H125" s="88"/>
    </row>
    <row r="126" spans="1:8" ht="15.75">
      <c r="A126" s="2" t="s">
        <v>250</v>
      </c>
      <c r="B126" s="2"/>
      <c r="C126" s="2"/>
      <c r="D126" s="47"/>
      <c r="E126" s="47"/>
      <c r="F126" s="88"/>
      <c r="G126" s="47"/>
      <c r="H126" s="88"/>
    </row>
    <row r="127" spans="1:8" ht="15.75">
      <c r="A127" s="85"/>
      <c r="B127" s="2"/>
      <c r="C127" s="2"/>
      <c r="D127" s="47"/>
      <c r="E127" s="47"/>
      <c r="F127" s="88"/>
      <c r="G127" s="88"/>
      <c r="H127" s="88"/>
    </row>
    <row r="128" spans="1:8" ht="15">
      <c r="A128" s="126" t="s">
        <v>251</v>
      </c>
      <c r="B128" s="126"/>
      <c r="C128" s="126"/>
      <c r="D128" s="88"/>
      <c r="E128" s="88"/>
      <c r="F128" s="88"/>
      <c r="G128" s="88"/>
      <c r="H128" s="88"/>
    </row>
    <row r="129" spans="1:8" ht="12.75">
      <c r="A129" s="85"/>
      <c r="B129" s="85"/>
      <c r="C129" s="85"/>
      <c r="D129" s="88"/>
      <c r="E129" s="88"/>
      <c r="F129" s="88"/>
      <c r="G129" s="88"/>
      <c r="H129" s="88"/>
    </row>
    <row r="130" spans="1:8" ht="15.75">
      <c r="A130" s="125" t="s">
        <v>252</v>
      </c>
      <c r="B130" s="125"/>
      <c r="C130" s="85"/>
      <c r="D130" s="88"/>
      <c r="E130" s="88"/>
      <c r="F130" s="88"/>
      <c r="G130" s="88"/>
      <c r="H130" s="88"/>
    </row>
    <row r="131" spans="1:8" ht="12.75">
      <c r="A131" s="85"/>
      <c r="B131" s="85"/>
      <c r="C131" s="85"/>
      <c r="D131" s="88"/>
      <c r="E131" s="88"/>
      <c r="F131" s="88"/>
      <c r="G131" s="88"/>
      <c r="H131" s="88"/>
    </row>
  </sheetData>
  <sheetProtection/>
  <mergeCells count="19">
    <mergeCell ref="A4:A6"/>
    <mergeCell ref="B4:B6"/>
    <mergeCell ref="C4:C6"/>
    <mergeCell ref="B59:B60"/>
    <mergeCell ref="C59:C60"/>
    <mergeCell ref="D59:D60"/>
    <mergeCell ref="I4:I6"/>
    <mergeCell ref="J4:J6"/>
    <mergeCell ref="K4:K6"/>
    <mergeCell ref="G4:G6"/>
    <mergeCell ref="H4:H6"/>
    <mergeCell ref="K59:K60"/>
    <mergeCell ref="I59:I60"/>
    <mergeCell ref="J59:J60"/>
    <mergeCell ref="A109:A110"/>
    <mergeCell ref="B109:B110"/>
    <mergeCell ref="G59:G60"/>
    <mergeCell ref="H59:H60"/>
    <mergeCell ref="A59:A60"/>
  </mergeCells>
  <printOptions/>
  <pageMargins left="0.1968503937007874" right="0.1968503937007874" top="0.2755905511811024" bottom="0.1968503937007874" header="0.44" footer="0.5118110236220472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tabSelected="1" view="pageBreakPreview" zoomScale="60" zoomScalePageLayoutView="0" workbookViewId="0" topLeftCell="A1">
      <selection activeCell="A118" sqref="A118:IV147"/>
    </sheetView>
  </sheetViews>
  <sheetFormatPr defaultColWidth="9.00390625" defaultRowHeight="12.75"/>
  <cols>
    <col min="1" max="1" width="5.25390625" style="85" customWidth="1"/>
    <col min="2" max="2" width="30.375" style="85" customWidth="1"/>
    <col min="3" max="3" width="10.625" style="85" bestFit="1" customWidth="1"/>
    <col min="4" max="4" width="13.25390625" style="88" customWidth="1"/>
    <col min="5" max="6" width="12.25390625" style="88" customWidth="1"/>
    <col min="7" max="7" width="11.375" style="88" bestFit="1" customWidth="1"/>
    <col min="8" max="8" width="56.25390625" style="88" customWidth="1"/>
    <col min="9" max="10" width="9.125" style="85" customWidth="1"/>
    <col min="11" max="11" width="9.375" style="85" bestFit="1" customWidth="1"/>
    <col min="12" max="16384" width="9.125" style="85" customWidth="1"/>
  </cols>
  <sheetData>
    <row r="1" spans="4:8" ht="19.5" customHeight="1">
      <c r="D1" s="86"/>
      <c r="E1" s="86"/>
      <c r="F1" s="86"/>
      <c r="G1" s="86"/>
      <c r="H1" s="86"/>
    </row>
    <row r="2" spans="4:8" ht="11.25" hidden="1">
      <c r="D2" s="86"/>
      <c r="E2" s="86"/>
      <c r="F2" s="86"/>
      <c r="G2" s="86"/>
      <c r="H2" s="86"/>
    </row>
    <row r="3" spans="4:8" ht="18.75" customHeight="1" hidden="1">
      <c r="D3" s="86"/>
      <c r="E3" s="86"/>
      <c r="F3" s="86"/>
      <c r="G3" s="86"/>
      <c r="H3" s="86"/>
    </row>
    <row r="4" spans="4:8" ht="11.25" hidden="1">
      <c r="D4" s="86"/>
      <c r="E4" s="86"/>
      <c r="F4" s="86"/>
      <c r="G4" s="86"/>
      <c r="H4" s="86"/>
    </row>
    <row r="5" spans="4:8" ht="11.25" hidden="1">
      <c r="D5" s="86"/>
      <c r="E5" s="86"/>
      <c r="F5" s="86"/>
      <c r="G5" s="86"/>
      <c r="H5" s="86"/>
    </row>
    <row r="6" spans="1:8" ht="26.25" customHeight="1">
      <c r="A6" s="209" t="s">
        <v>253</v>
      </c>
      <c r="B6" s="209"/>
      <c r="C6" s="209"/>
      <c r="D6" s="209"/>
      <c r="E6" s="209"/>
      <c r="F6" s="209"/>
      <c r="G6" s="209"/>
      <c r="H6" s="209"/>
    </row>
    <row r="7" spans="1:3" ht="9.75" customHeight="1">
      <c r="A7" s="87"/>
      <c r="B7" s="87"/>
      <c r="C7" s="87"/>
    </row>
    <row r="8" spans="1:8" ht="11.25" customHeight="1">
      <c r="A8" s="210" t="s">
        <v>138</v>
      </c>
      <c r="B8" s="177" t="s">
        <v>254</v>
      </c>
      <c r="C8" s="213" t="s">
        <v>177</v>
      </c>
      <c r="D8" s="180" t="s">
        <v>255</v>
      </c>
      <c r="E8" s="180" t="s">
        <v>256</v>
      </c>
      <c r="F8" s="180" t="s">
        <v>178</v>
      </c>
      <c r="G8" s="172" t="s">
        <v>179</v>
      </c>
      <c r="H8" s="183" t="s">
        <v>180</v>
      </c>
    </row>
    <row r="9" spans="1:8" ht="38.25" customHeight="1">
      <c r="A9" s="211"/>
      <c r="B9" s="178"/>
      <c r="C9" s="214"/>
      <c r="D9" s="181"/>
      <c r="E9" s="181"/>
      <c r="F9" s="181"/>
      <c r="G9" s="172"/>
      <c r="H9" s="183"/>
    </row>
    <row r="10" spans="1:8" ht="11.25" customHeight="1">
      <c r="A10" s="211"/>
      <c r="B10" s="178"/>
      <c r="C10" s="214"/>
      <c r="D10" s="181"/>
      <c r="E10" s="181"/>
      <c r="F10" s="181"/>
      <c r="G10" s="172"/>
      <c r="H10" s="183"/>
    </row>
    <row r="11" spans="1:8" ht="21" customHeight="1">
      <c r="A11" s="211"/>
      <c r="B11" s="178"/>
      <c r="C11" s="214"/>
      <c r="D11" s="182"/>
      <c r="E11" s="182"/>
      <c r="F11" s="181"/>
      <c r="G11" s="172"/>
      <c r="H11" s="183"/>
    </row>
    <row r="12" spans="1:8" ht="6.75" customHeight="1" hidden="1">
      <c r="A12" s="212"/>
      <c r="B12" s="179"/>
      <c r="C12" s="215"/>
      <c r="D12" s="80"/>
      <c r="E12" s="80"/>
      <c r="F12" s="182"/>
      <c r="G12" s="172"/>
      <c r="H12" s="183"/>
    </row>
    <row r="13" spans="1:8" ht="14.25" customHeight="1">
      <c r="A13" s="28">
        <v>1</v>
      </c>
      <c r="B13" s="28">
        <v>2</v>
      </c>
      <c r="C13" s="89">
        <v>3</v>
      </c>
      <c r="D13" s="90">
        <v>4</v>
      </c>
      <c r="E13" s="90">
        <v>5</v>
      </c>
      <c r="F13" s="91">
        <v>6</v>
      </c>
      <c r="G13" s="91">
        <v>7</v>
      </c>
      <c r="H13" s="92">
        <v>8</v>
      </c>
    </row>
    <row r="14" spans="1:8" ht="12.75" customHeight="1">
      <c r="A14" s="177" t="s">
        <v>72</v>
      </c>
      <c r="B14" s="189" t="s">
        <v>181</v>
      </c>
      <c r="C14" s="204" t="s">
        <v>5</v>
      </c>
      <c r="D14" s="205">
        <f>D16+D68+D71+D72+D76-0.01</f>
        <v>439886.7036184</v>
      </c>
      <c r="E14" s="205">
        <f>E16+E68+E71+E72+E76</f>
        <v>863810.5243133999</v>
      </c>
      <c r="F14" s="207">
        <f>E14-D14</f>
        <v>423923.82069499994</v>
      </c>
      <c r="G14" s="192">
        <f>F14/D14*100</f>
        <v>96.37113766065369</v>
      </c>
      <c r="H14" s="193"/>
    </row>
    <row r="15" spans="1:8" ht="6.75" customHeight="1">
      <c r="A15" s="179"/>
      <c r="B15" s="190"/>
      <c r="C15" s="204"/>
      <c r="D15" s="206"/>
      <c r="E15" s="206"/>
      <c r="F15" s="208"/>
      <c r="G15" s="192"/>
      <c r="H15" s="193"/>
    </row>
    <row r="16" spans="1:8" ht="16.5" customHeight="1">
      <c r="A16" s="95" t="s">
        <v>182</v>
      </c>
      <c r="B16" s="96" t="s">
        <v>66</v>
      </c>
      <c r="C16" s="28" t="s">
        <v>5</v>
      </c>
      <c r="D16" s="94">
        <f>D17+D18+D46+D47+D58+0.01</f>
        <v>208915.44361840002</v>
      </c>
      <c r="E16" s="94">
        <f>E17+E18+E46+E47+E58</f>
        <v>231373.7343134</v>
      </c>
      <c r="F16" s="93">
        <f aca="true" t="shared" si="0" ref="F16:F21">E16-D16</f>
        <v>22458.290694999974</v>
      </c>
      <c r="G16" s="93">
        <f aca="true" t="shared" si="1" ref="G16:G21">F16/D16*100</f>
        <v>10.749942802707183</v>
      </c>
      <c r="H16" s="94"/>
    </row>
    <row r="17" spans="1:8" ht="16.5" customHeight="1">
      <c r="A17" s="97" t="s">
        <v>31</v>
      </c>
      <c r="B17" s="98" t="s">
        <v>183</v>
      </c>
      <c r="C17" s="28" t="s">
        <v>5</v>
      </c>
      <c r="D17" s="99">
        <v>28376.9</v>
      </c>
      <c r="E17" s="99">
        <v>31518.09</v>
      </c>
      <c r="F17" s="100">
        <f t="shared" si="0"/>
        <v>3141.1899999999987</v>
      </c>
      <c r="G17" s="100">
        <f t="shared" si="1"/>
        <v>11.069531907995584</v>
      </c>
      <c r="H17" s="113" t="s">
        <v>268</v>
      </c>
    </row>
    <row r="18" spans="1:8" ht="16.5" customHeight="1">
      <c r="A18" s="97" t="s">
        <v>32</v>
      </c>
      <c r="B18" s="98" t="s">
        <v>6</v>
      </c>
      <c r="C18" s="28" t="s">
        <v>5</v>
      </c>
      <c r="D18" s="99">
        <f>D19+D22+D25+D28+D31+D34+D37+D40+D43</f>
        <v>26457.8136184</v>
      </c>
      <c r="E18" s="99">
        <f>E19+E22+E25+E28+E31+E34+E37+E40+E43</f>
        <v>31043.0943134</v>
      </c>
      <c r="F18" s="100">
        <f t="shared" si="0"/>
        <v>4585.280695000001</v>
      </c>
      <c r="G18" s="100">
        <f t="shared" si="1"/>
        <v>17.33053517245727</v>
      </c>
      <c r="H18" s="113" t="s">
        <v>267</v>
      </c>
    </row>
    <row r="19" spans="1:8" ht="15" hidden="1">
      <c r="A19" s="146" t="s">
        <v>163</v>
      </c>
      <c r="B19" s="106" t="s">
        <v>153</v>
      </c>
      <c r="C19" s="58" t="s">
        <v>5</v>
      </c>
      <c r="D19" s="147">
        <f>D20*D21/1000</f>
        <v>4359.2432902</v>
      </c>
      <c r="E19" s="147">
        <f>E20*E21/1000</f>
        <v>4143.1364838</v>
      </c>
      <c r="F19" s="148">
        <f t="shared" si="0"/>
        <v>-216.1068064000001</v>
      </c>
      <c r="G19" s="148">
        <f t="shared" si="1"/>
        <v>-4.957438528054378</v>
      </c>
      <c r="H19" s="99"/>
    </row>
    <row r="20" spans="1:8" ht="15" hidden="1">
      <c r="A20" s="146"/>
      <c r="B20" s="58" t="s">
        <v>142</v>
      </c>
      <c r="C20" s="58" t="s">
        <v>184</v>
      </c>
      <c r="D20" s="147">
        <v>39057.82</v>
      </c>
      <c r="E20" s="147">
        <v>37104.93</v>
      </c>
      <c r="F20" s="148">
        <f t="shared" si="0"/>
        <v>-1952.8899999999994</v>
      </c>
      <c r="G20" s="148">
        <f t="shared" si="1"/>
        <v>-4.999997439693253</v>
      </c>
      <c r="H20" s="99"/>
    </row>
    <row r="21" spans="1:8" ht="15" hidden="1">
      <c r="A21" s="146"/>
      <c r="B21" s="58" t="s">
        <v>145</v>
      </c>
      <c r="C21" s="58" t="s">
        <v>135</v>
      </c>
      <c r="D21" s="147">
        <v>111.61</v>
      </c>
      <c r="E21" s="147">
        <v>111.66</v>
      </c>
      <c r="F21" s="148">
        <f t="shared" si="0"/>
        <v>0.04999999999999716</v>
      </c>
      <c r="G21" s="148">
        <f t="shared" si="1"/>
        <v>0.04479885314935683</v>
      </c>
      <c r="H21" s="99"/>
    </row>
    <row r="22" spans="1:8" ht="15" hidden="1">
      <c r="A22" s="146" t="s">
        <v>164</v>
      </c>
      <c r="B22" s="106" t="s">
        <v>156</v>
      </c>
      <c r="C22" s="58" t="s">
        <v>5</v>
      </c>
      <c r="D22" s="147">
        <f>D23*D24/1000</f>
        <v>6278.452439999999</v>
      </c>
      <c r="E22" s="147">
        <f>E23*E24/1000</f>
        <v>7276.678045</v>
      </c>
      <c r="F22" s="148">
        <f aca="true" t="shared" si="2" ref="F22:F72">E22-D22</f>
        <v>998.2256050000005</v>
      </c>
      <c r="G22" s="148">
        <f aca="true" t="shared" si="3" ref="G22:G72">F22/D22*100</f>
        <v>15.899230177174054</v>
      </c>
      <c r="H22" s="99"/>
    </row>
    <row r="23" spans="1:8" ht="15" hidden="1">
      <c r="A23" s="146"/>
      <c r="B23" s="58" t="s">
        <v>142</v>
      </c>
      <c r="C23" s="58" t="s">
        <v>184</v>
      </c>
      <c r="D23" s="147">
        <v>79014</v>
      </c>
      <c r="E23" s="147">
        <v>91266.5</v>
      </c>
      <c r="F23" s="148">
        <f t="shared" si="2"/>
        <v>12252.5</v>
      </c>
      <c r="G23" s="148">
        <f t="shared" si="3"/>
        <v>15.506745640013161</v>
      </c>
      <c r="H23" s="99"/>
    </row>
    <row r="24" spans="1:8" ht="15" hidden="1">
      <c r="A24" s="146"/>
      <c r="B24" s="58" t="s">
        <v>145</v>
      </c>
      <c r="C24" s="58" t="s">
        <v>135</v>
      </c>
      <c r="D24" s="147">
        <v>79.46</v>
      </c>
      <c r="E24" s="147">
        <v>79.73</v>
      </c>
      <c r="F24" s="148">
        <f t="shared" si="2"/>
        <v>0.27000000000001023</v>
      </c>
      <c r="G24" s="148">
        <f t="shared" si="3"/>
        <v>0.33979360684622484</v>
      </c>
      <c r="H24" s="99"/>
    </row>
    <row r="25" spans="1:8" ht="15" hidden="1">
      <c r="A25" s="146" t="s">
        <v>165</v>
      </c>
      <c r="B25" s="106" t="s">
        <v>157</v>
      </c>
      <c r="C25" s="58" t="s">
        <v>5</v>
      </c>
      <c r="D25" s="147">
        <f>D26*D27/1000</f>
        <v>10861.53998</v>
      </c>
      <c r="E25" s="147">
        <f>E26*E27/1000</f>
        <v>14319.27952</v>
      </c>
      <c r="F25" s="148">
        <f t="shared" si="2"/>
        <v>3457.7395400000005</v>
      </c>
      <c r="G25" s="148">
        <f t="shared" si="3"/>
        <v>31.834708028207253</v>
      </c>
      <c r="H25" s="99"/>
    </row>
    <row r="26" spans="1:8" ht="15" hidden="1">
      <c r="A26" s="146"/>
      <c r="B26" s="58" t="s">
        <v>142</v>
      </c>
      <c r="C26" s="58" t="s">
        <v>184</v>
      </c>
      <c r="D26" s="147">
        <v>122882</v>
      </c>
      <c r="E26" s="147">
        <v>144976</v>
      </c>
      <c r="F26" s="148">
        <f t="shared" si="2"/>
        <v>22094</v>
      </c>
      <c r="G26" s="148">
        <f t="shared" si="3"/>
        <v>17.97985058836933</v>
      </c>
      <c r="H26" s="99"/>
    </row>
    <row r="27" spans="1:8" ht="15" hidden="1">
      <c r="A27" s="146"/>
      <c r="B27" s="58" t="s">
        <v>145</v>
      </c>
      <c r="C27" s="58" t="s">
        <v>135</v>
      </c>
      <c r="D27" s="147">
        <v>88.39</v>
      </c>
      <c r="E27" s="147">
        <v>98.77</v>
      </c>
      <c r="F27" s="148">
        <f t="shared" si="2"/>
        <v>10.379999999999995</v>
      </c>
      <c r="G27" s="148">
        <f t="shared" si="3"/>
        <v>11.743409887996375</v>
      </c>
      <c r="H27" s="99"/>
    </row>
    <row r="28" spans="1:8" ht="15" hidden="1">
      <c r="A28" s="146" t="s">
        <v>166</v>
      </c>
      <c r="B28" s="106" t="s">
        <v>155</v>
      </c>
      <c r="C28" s="58" t="s">
        <v>70</v>
      </c>
      <c r="D28" s="147">
        <f>D29*D30/1000</f>
        <v>2104.8188532</v>
      </c>
      <c r="E28" s="147">
        <f>E29*E30/1000</f>
        <v>2120.9013</v>
      </c>
      <c r="F28" s="148">
        <f t="shared" si="2"/>
        <v>16.08244680000007</v>
      </c>
      <c r="G28" s="148">
        <f t="shared" si="3"/>
        <v>0.7640774775249467</v>
      </c>
      <c r="H28" s="99"/>
    </row>
    <row r="29" spans="1:8" ht="15" hidden="1">
      <c r="A29" s="146"/>
      <c r="B29" s="58" t="s">
        <v>142</v>
      </c>
      <c r="C29" s="58" t="s">
        <v>184</v>
      </c>
      <c r="D29" s="147">
        <v>52384.74</v>
      </c>
      <c r="E29" s="147">
        <v>52785</v>
      </c>
      <c r="F29" s="148">
        <f t="shared" si="2"/>
        <v>400.26000000000204</v>
      </c>
      <c r="G29" s="148">
        <f t="shared" si="3"/>
        <v>0.7640774775249473</v>
      </c>
      <c r="H29" s="99"/>
    </row>
    <row r="30" spans="1:8" ht="15" hidden="1">
      <c r="A30" s="146"/>
      <c r="B30" s="58" t="s">
        <v>145</v>
      </c>
      <c r="C30" s="58" t="s">
        <v>135</v>
      </c>
      <c r="D30" s="147">
        <v>40.18</v>
      </c>
      <c r="E30" s="147">
        <v>40.18</v>
      </c>
      <c r="F30" s="148">
        <f t="shared" si="2"/>
        <v>0</v>
      </c>
      <c r="G30" s="148">
        <f t="shared" si="3"/>
        <v>0</v>
      </c>
      <c r="H30" s="99"/>
    </row>
    <row r="31" spans="1:8" ht="15" hidden="1">
      <c r="A31" s="146" t="s">
        <v>167</v>
      </c>
      <c r="B31" s="104" t="s">
        <v>159</v>
      </c>
      <c r="C31" s="58" t="s">
        <v>5</v>
      </c>
      <c r="D31" s="147">
        <f>D32*D33/1000</f>
        <v>494.586</v>
      </c>
      <c r="E31" s="147">
        <f>E32*E33/1000</f>
        <v>544.6172875</v>
      </c>
      <c r="F31" s="148">
        <f t="shared" si="2"/>
        <v>50.03128749999996</v>
      </c>
      <c r="G31" s="148">
        <f t="shared" si="3"/>
        <v>10.115791288067182</v>
      </c>
      <c r="H31" s="99"/>
    </row>
    <row r="32" spans="1:8" ht="15" hidden="1">
      <c r="A32" s="146"/>
      <c r="B32" s="58" t="s">
        <v>142</v>
      </c>
      <c r="C32" s="58" t="s">
        <v>184</v>
      </c>
      <c r="D32" s="147">
        <v>1917</v>
      </c>
      <c r="E32" s="147">
        <v>2323.75</v>
      </c>
      <c r="F32" s="148">
        <f t="shared" si="2"/>
        <v>406.75</v>
      </c>
      <c r="G32" s="148">
        <f t="shared" si="3"/>
        <v>21.218049034950443</v>
      </c>
      <c r="H32" s="99"/>
    </row>
    <row r="33" spans="1:8" ht="15" hidden="1">
      <c r="A33" s="146"/>
      <c r="B33" s="58" t="s">
        <v>145</v>
      </c>
      <c r="C33" s="58" t="s">
        <v>135</v>
      </c>
      <c r="D33" s="147">
        <v>258</v>
      </c>
      <c r="E33" s="147">
        <v>234.37</v>
      </c>
      <c r="F33" s="148">
        <f t="shared" si="2"/>
        <v>-23.629999999999995</v>
      </c>
      <c r="G33" s="148">
        <f t="shared" si="3"/>
        <v>-9.158914728682168</v>
      </c>
      <c r="H33" s="99"/>
    </row>
    <row r="34" spans="1:8" ht="38.25" hidden="1">
      <c r="A34" s="146" t="s">
        <v>168</v>
      </c>
      <c r="B34" s="127" t="s">
        <v>185</v>
      </c>
      <c r="C34" s="58" t="s">
        <v>5</v>
      </c>
      <c r="D34" s="147">
        <f>D35*D36/1000</f>
        <v>444.62912</v>
      </c>
      <c r="E34" s="147">
        <f>E35*E36/1000</f>
        <v>345.11958799999996</v>
      </c>
      <c r="F34" s="148">
        <f t="shared" si="2"/>
        <v>-99.50953200000004</v>
      </c>
      <c r="G34" s="148">
        <f t="shared" si="3"/>
        <v>-22.380345218954627</v>
      </c>
      <c r="H34" s="99"/>
    </row>
    <row r="35" spans="1:8" ht="15" hidden="1">
      <c r="A35" s="146"/>
      <c r="B35" s="58" t="s">
        <v>142</v>
      </c>
      <c r="C35" s="58" t="s">
        <v>184</v>
      </c>
      <c r="D35" s="147">
        <v>832</v>
      </c>
      <c r="E35" s="147">
        <v>920.81</v>
      </c>
      <c r="F35" s="148">
        <f t="shared" si="2"/>
        <v>88.80999999999995</v>
      </c>
      <c r="G35" s="148">
        <f t="shared" si="3"/>
        <v>10.67427884615384</v>
      </c>
      <c r="H35" s="99"/>
    </row>
    <row r="36" spans="1:8" ht="15" hidden="1">
      <c r="A36" s="146"/>
      <c r="B36" s="58" t="s">
        <v>145</v>
      </c>
      <c r="C36" s="58" t="s">
        <v>135</v>
      </c>
      <c r="D36" s="147">
        <v>534.41</v>
      </c>
      <c r="E36" s="147">
        <v>374.8</v>
      </c>
      <c r="F36" s="148">
        <f t="shared" si="2"/>
        <v>-159.60999999999996</v>
      </c>
      <c r="G36" s="148">
        <f t="shared" si="3"/>
        <v>-29.8665818379147</v>
      </c>
      <c r="H36" s="99"/>
    </row>
    <row r="37" spans="1:8" ht="25.5" hidden="1">
      <c r="A37" s="146" t="s">
        <v>169</v>
      </c>
      <c r="B37" s="114" t="s">
        <v>257</v>
      </c>
      <c r="C37" s="58" t="s">
        <v>5</v>
      </c>
      <c r="D37" s="147">
        <f>D38*D39/1000</f>
        <v>1164.4469500000002</v>
      </c>
      <c r="E37" s="147">
        <f>E38*E39/1000</f>
        <v>1454.1434791000001</v>
      </c>
      <c r="F37" s="148">
        <f t="shared" si="2"/>
        <v>289.6965290999999</v>
      </c>
      <c r="G37" s="148">
        <f t="shared" si="3"/>
        <v>24.87846518898949</v>
      </c>
      <c r="H37" s="99"/>
    </row>
    <row r="38" spans="1:8" ht="15" hidden="1">
      <c r="A38" s="146"/>
      <c r="B38" s="58" t="s">
        <v>142</v>
      </c>
      <c r="C38" s="58" t="s">
        <v>184</v>
      </c>
      <c r="D38" s="147">
        <v>4447</v>
      </c>
      <c r="E38" s="147">
        <v>4225.81</v>
      </c>
      <c r="F38" s="148">
        <f t="shared" si="2"/>
        <v>-221.1899999999996</v>
      </c>
      <c r="G38" s="148">
        <f t="shared" si="3"/>
        <v>-4.973914998875637</v>
      </c>
      <c r="H38" s="99"/>
    </row>
    <row r="39" spans="1:8" ht="15" hidden="1">
      <c r="A39" s="146"/>
      <c r="B39" s="58" t="s">
        <v>145</v>
      </c>
      <c r="C39" s="58" t="s">
        <v>135</v>
      </c>
      <c r="D39" s="147">
        <v>261.85</v>
      </c>
      <c r="E39" s="147">
        <v>344.11</v>
      </c>
      <c r="F39" s="148">
        <f t="shared" si="2"/>
        <v>82.25999999999999</v>
      </c>
      <c r="G39" s="148">
        <f t="shared" si="3"/>
        <v>31.414932213099096</v>
      </c>
      <c r="H39" s="99"/>
    </row>
    <row r="40" spans="1:8" ht="25.5" hidden="1">
      <c r="A40" s="146" t="s">
        <v>170</v>
      </c>
      <c r="B40" s="114" t="s">
        <v>161</v>
      </c>
      <c r="C40" s="58" t="s">
        <v>5</v>
      </c>
      <c r="D40" s="147">
        <f>D41*D42/1000</f>
        <v>99.16497500000001</v>
      </c>
      <c r="E40" s="147">
        <f>E41*E42/1000</f>
        <v>187.523445</v>
      </c>
      <c r="F40" s="148">
        <f t="shared" si="2"/>
        <v>88.35847</v>
      </c>
      <c r="G40" s="148">
        <f t="shared" si="3"/>
        <v>89.10249813505222</v>
      </c>
      <c r="H40" s="99"/>
    </row>
    <row r="41" spans="1:8" ht="15" hidden="1">
      <c r="A41" s="146"/>
      <c r="B41" s="58" t="s">
        <v>142</v>
      </c>
      <c r="C41" s="58" t="s">
        <v>176</v>
      </c>
      <c r="D41" s="147">
        <v>295.75</v>
      </c>
      <c r="E41" s="147">
        <v>369.65</v>
      </c>
      <c r="F41" s="148">
        <f t="shared" si="2"/>
        <v>73.89999999999998</v>
      </c>
      <c r="G41" s="148">
        <f t="shared" si="3"/>
        <v>24.98732037193575</v>
      </c>
      <c r="H41" s="99"/>
    </row>
    <row r="42" spans="1:8" ht="15" hidden="1">
      <c r="A42" s="146"/>
      <c r="B42" s="58" t="s">
        <v>145</v>
      </c>
      <c r="C42" s="58" t="s">
        <v>135</v>
      </c>
      <c r="D42" s="147">
        <v>335.3</v>
      </c>
      <c r="E42" s="147">
        <v>507.3</v>
      </c>
      <c r="F42" s="148">
        <f t="shared" si="2"/>
        <v>172</v>
      </c>
      <c r="G42" s="148">
        <f t="shared" si="3"/>
        <v>51.297345660602446</v>
      </c>
      <c r="H42" s="99"/>
    </row>
    <row r="43" spans="1:8" ht="15" hidden="1">
      <c r="A43" s="146" t="s">
        <v>171</v>
      </c>
      <c r="B43" s="127" t="s">
        <v>162</v>
      </c>
      <c r="C43" s="58" t="s">
        <v>5</v>
      </c>
      <c r="D43" s="147">
        <f>D44*D45/1000</f>
        <v>650.93201</v>
      </c>
      <c r="E43" s="147">
        <f>E44*E45/1000</f>
        <v>651.6951650000001</v>
      </c>
      <c r="F43" s="148">
        <f t="shared" si="2"/>
        <v>0.7631550000000971</v>
      </c>
      <c r="G43" s="148">
        <f t="shared" si="3"/>
        <v>0.11724035510253937</v>
      </c>
      <c r="H43" s="99"/>
    </row>
    <row r="44" spans="1:8" ht="15" hidden="1">
      <c r="A44" s="97"/>
      <c r="B44" s="58" t="s">
        <v>142</v>
      </c>
      <c r="C44" s="58" t="s">
        <v>154</v>
      </c>
      <c r="D44" s="147">
        <v>1862.2</v>
      </c>
      <c r="E44" s="147">
        <v>1927.75</v>
      </c>
      <c r="F44" s="148">
        <f t="shared" si="2"/>
        <v>65.54999999999995</v>
      </c>
      <c r="G44" s="148">
        <f t="shared" si="3"/>
        <v>3.5200300719578967</v>
      </c>
      <c r="H44" s="99"/>
    </row>
    <row r="45" spans="1:8" ht="15" hidden="1">
      <c r="A45" s="97"/>
      <c r="B45" s="58" t="s">
        <v>145</v>
      </c>
      <c r="C45" s="58" t="s">
        <v>135</v>
      </c>
      <c r="D45" s="147">
        <v>349.55</v>
      </c>
      <c r="E45" s="147">
        <v>338.06</v>
      </c>
      <c r="F45" s="148">
        <f t="shared" si="2"/>
        <v>-11.490000000000009</v>
      </c>
      <c r="G45" s="148">
        <f t="shared" si="3"/>
        <v>-3.287083392933775</v>
      </c>
      <c r="H45" s="99"/>
    </row>
    <row r="46" spans="1:8" ht="16.5" customHeight="1">
      <c r="A46" s="97" t="s">
        <v>33</v>
      </c>
      <c r="B46" s="98" t="s">
        <v>285</v>
      </c>
      <c r="C46" s="28" t="s">
        <v>5</v>
      </c>
      <c r="D46" s="99">
        <v>1919.32</v>
      </c>
      <c r="E46" s="99">
        <v>10222.79</v>
      </c>
      <c r="F46" s="100">
        <f t="shared" si="2"/>
        <v>8303.470000000001</v>
      </c>
      <c r="G46" s="100">
        <f t="shared" si="3"/>
        <v>432.6256174061648</v>
      </c>
      <c r="H46" s="113" t="s">
        <v>269</v>
      </c>
    </row>
    <row r="47" spans="1:8" ht="15" customHeight="1">
      <c r="A47" s="97" t="s">
        <v>34</v>
      </c>
      <c r="B47" s="98" t="s">
        <v>8</v>
      </c>
      <c r="C47" s="28" t="s">
        <v>5</v>
      </c>
      <c r="D47" s="99">
        <f>D49+D52+D55</f>
        <v>47808.770000000004</v>
      </c>
      <c r="E47" s="99">
        <f>E49+E52+E55</f>
        <v>55099.78</v>
      </c>
      <c r="F47" s="100">
        <f t="shared" si="2"/>
        <v>7291.009999999995</v>
      </c>
      <c r="G47" s="100">
        <f t="shared" si="3"/>
        <v>15.250360969336786</v>
      </c>
      <c r="H47" s="99"/>
    </row>
    <row r="48" spans="1:8" ht="15" customHeight="1" hidden="1">
      <c r="A48" s="97"/>
      <c r="B48" s="58" t="s">
        <v>142</v>
      </c>
      <c r="C48" s="28" t="s">
        <v>143</v>
      </c>
      <c r="D48" s="147">
        <f>D50+D53+D56</f>
        <v>2563.98</v>
      </c>
      <c r="E48" s="147">
        <f>E50+E53+E56</f>
        <v>2929.25</v>
      </c>
      <c r="F48" s="148">
        <f t="shared" si="2"/>
        <v>365.27</v>
      </c>
      <c r="G48" s="148">
        <f t="shared" si="3"/>
        <v>14.246210968884313</v>
      </c>
      <c r="H48" s="99"/>
    </row>
    <row r="49" spans="1:8" ht="15.75" customHeight="1" hidden="1">
      <c r="A49" s="97"/>
      <c r="B49" s="104" t="s">
        <v>144</v>
      </c>
      <c r="C49" s="28" t="s">
        <v>5</v>
      </c>
      <c r="D49" s="147">
        <v>46525.42</v>
      </c>
      <c r="E49" s="147">
        <v>53814.82</v>
      </c>
      <c r="F49" s="148">
        <f t="shared" si="2"/>
        <v>7289.4000000000015</v>
      </c>
      <c r="G49" s="148">
        <f t="shared" si="3"/>
        <v>15.667564097218257</v>
      </c>
      <c r="H49" s="99"/>
    </row>
    <row r="50" spans="1:8" ht="18" customHeight="1" hidden="1">
      <c r="A50" s="97"/>
      <c r="B50" s="58" t="s">
        <v>142</v>
      </c>
      <c r="C50" s="28" t="s">
        <v>143</v>
      </c>
      <c r="D50" s="149">
        <v>2486.26</v>
      </c>
      <c r="E50" s="149">
        <v>2851.42</v>
      </c>
      <c r="F50" s="148">
        <f t="shared" si="2"/>
        <v>365.15999999999985</v>
      </c>
      <c r="G50" s="148">
        <f t="shared" si="3"/>
        <v>14.687120413794204</v>
      </c>
      <c r="H50" s="99"/>
    </row>
    <row r="51" spans="1:8" ht="15" hidden="1">
      <c r="A51" s="97"/>
      <c r="B51" s="58" t="s">
        <v>145</v>
      </c>
      <c r="C51" s="28" t="s">
        <v>135</v>
      </c>
      <c r="D51" s="147">
        <v>18.71</v>
      </c>
      <c r="E51" s="147">
        <v>18.87</v>
      </c>
      <c r="F51" s="148">
        <f t="shared" si="2"/>
        <v>0.16000000000000014</v>
      </c>
      <c r="G51" s="148">
        <f t="shared" si="3"/>
        <v>0.8551576696953509</v>
      </c>
      <c r="H51" s="99"/>
    </row>
    <row r="52" spans="1:8" ht="15" customHeight="1" hidden="1">
      <c r="A52" s="97"/>
      <c r="B52" s="106" t="s">
        <v>186</v>
      </c>
      <c r="C52" s="28" t="s">
        <v>70</v>
      </c>
      <c r="D52" s="147">
        <v>167.16</v>
      </c>
      <c r="E52" s="147">
        <v>167.19</v>
      </c>
      <c r="F52" s="148">
        <f t="shared" si="2"/>
        <v>0.030000000000001137</v>
      </c>
      <c r="G52" s="148">
        <f t="shared" si="3"/>
        <v>0.017946877243360335</v>
      </c>
      <c r="H52" s="99"/>
    </row>
    <row r="53" spans="1:8" ht="16.5" customHeight="1" hidden="1">
      <c r="A53" s="97"/>
      <c r="B53" s="58" t="s">
        <v>142</v>
      </c>
      <c r="C53" s="28" t="s">
        <v>143</v>
      </c>
      <c r="D53" s="147">
        <v>10.52</v>
      </c>
      <c r="E53" s="147">
        <v>10.52</v>
      </c>
      <c r="F53" s="148">
        <f t="shared" si="2"/>
        <v>0</v>
      </c>
      <c r="G53" s="148">
        <f t="shared" si="3"/>
        <v>0</v>
      </c>
      <c r="H53" s="99"/>
    </row>
    <row r="54" spans="1:8" ht="17.25" customHeight="1" hidden="1">
      <c r="A54" s="97"/>
      <c r="B54" s="58" t="s">
        <v>145</v>
      </c>
      <c r="C54" s="28" t="s">
        <v>135</v>
      </c>
      <c r="D54" s="147">
        <v>15.89</v>
      </c>
      <c r="E54" s="147">
        <v>15.89</v>
      </c>
      <c r="F54" s="148">
        <f t="shared" si="2"/>
        <v>0</v>
      </c>
      <c r="G54" s="148">
        <f t="shared" si="3"/>
        <v>0</v>
      </c>
      <c r="H54" s="99"/>
    </row>
    <row r="55" spans="1:8" ht="17.25" customHeight="1" hidden="1">
      <c r="A55" s="97"/>
      <c r="B55" s="106" t="s">
        <v>187</v>
      </c>
      <c r="C55" s="28" t="s">
        <v>70</v>
      </c>
      <c r="D55" s="147">
        <v>1116.19</v>
      </c>
      <c r="E55" s="147">
        <v>1117.77</v>
      </c>
      <c r="F55" s="148">
        <f t="shared" si="2"/>
        <v>1.5799999999999272</v>
      </c>
      <c r="G55" s="148">
        <f t="shared" si="3"/>
        <v>0.14155296141337292</v>
      </c>
      <c r="H55" s="99"/>
    </row>
    <row r="56" spans="1:8" ht="17.25" customHeight="1" hidden="1">
      <c r="A56" s="97"/>
      <c r="B56" s="58" t="s">
        <v>142</v>
      </c>
      <c r="C56" s="28" t="s">
        <v>143</v>
      </c>
      <c r="D56" s="147">
        <v>67.2</v>
      </c>
      <c r="E56" s="147">
        <v>67.31</v>
      </c>
      <c r="F56" s="148">
        <f t="shared" si="2"/>
        <v>0.10999999999999943</v>
      </c>
      <c r="G56" s="148">
        <f t="shared" si="3"/>
        <v>0.16369047619047533</v>
      </c>
      <c r="H56" s="99"/>
    </row>
    <row r="57" spans="1:8" ht="17.25" customHeight="1" hidden="1">
      <c r="A57" s="97"/>
      <c r="B57" s="58" t="s">
        <v>145</v>
      </c>
      <c r="C57" s="28" t="s">
        <v>135</v>
      </c>
      <c r="D57" s="147">
        <v>16.61</v>
      </c>
      <c r="E57" s="147">
        <v>16.61</v>
      </c>
      <c r="F57" s="148">
        <f t="shared" si="2"/>
        <v>0</v>
      </c>
      <c r="G57" s="148">
        <f t="shared" si="3"/>
        <v>0</v>
      </c>
      <c r="H57" s="99"/>
    </row>
    <row r="58" spans="1:8" ht="16.5" customHeight="1">
      <c r="A58" s="97" t="s">
        <v>73</v>
      </c>
      <c r="B58" s="98" t="s">
        <v>188</v>
      </c>
      <c r="C58" s="28" t="s">
        <v>5</v>
      </c>
      <c r="D58" s="99">
        <f>D60+D63</f>
        <v>104352.63</v>
      </c>
      <c r="E58" s="99">
        <f>E60+E63</f>
        <v>103489.98</v>
      </c>
      <c r="F58" s="100">
        <f t="shared" si="2"/>
        <v>-862.6500000000087</v>
      </c>
      <c r="G58" s="100">
        <f t="shared" si="3"/>
        <v>-0.8266681922631071</v>
      </c>
      <c r="H58" s="99"/>
    </row>
    <row r="59" spans="1:8" ht="18.75" customHeight="1" hidden="1">
      <c r="A59" s="97"/>
      <c r="B59" s="58" t="s">
        <v>142</v>
      </c>
      <c r="C59" s="28" t="s">
        <v>107</v>
      </c>
      <c r="D59" s="147">
        <f>D61+D65</f>
        <v>6781.6900000000005</v>
      </c>
      <c r="E59" s="147">
        <f>E61+E65</f>
        <v>8335.64</v>
      </c>
      <c r="F59" s="148">
        <f t="shared" si="2"/>
        <v>1553.949999999999</v>
      </c>
      <c r="G59" s="148">
        <f t="shared" si="3"/>
        <v>22.913904941098735</v>
      </c>
      <c r="H59" s="99"/>
    </row>
    <row r="60" spans="1:8" ht="17.25" customHeight="1" hidden="1">
      <c r="A60" s="97"/>
      <c r="B60" s="106" t="s">
        <v>189</v>
      </c>
      <c r="C60" s="28" t="s">
        <v>70</v>
      </c>
      <c r="D60" s="147">
        <v>99123</v>
      </c>
      <c r="E60" s="147">
        <v>95387.64</v>
      </c>
      <c r="F60" s="148">
        <f t="shared" si="2"/>
        <v>-3735.3600000000006</v>
      </c>
      <c r="G60" s="148">
        <f t="shared" si="3"/>
        <v>-3.768408946460459</v>
      </c>
      <c r="H60" s="99"/>
    </row>
    <row r="61" spans="1:8" ht="15.75" customHeight="1" hidden="1">
      <c r="A61" s="97"/>
      <c r="B61" s="58" t="s">
        <v>142</v>
      </c>
      <c r="C61" s="28" t="s">
        <v>107</v>
      </c>
      <c r="D61" s="147">
        <v>3700</v>
      </c>
      <c r="E61" s="147">
        <v>3561.13</v>
      </c>
      <c r="F61" s="148">
        <f t="shared" si="2"/>
        <v>-138.8699999999999</v>
      </c>
      <c r="G61" s="148">
        <f t="shared" si="3"/>
        <v>-3.75324324324324</v>
      </c>
      <c r="H61" s="99"/>
    </row>
    <row r="62" spans="1:8" ht="15" hidden="1">
      <c r="A62" s="97"/>
      <c r="B62" s="58" t="s">
        <v>145</v>
      </c>
      <c r="C62" s="28" t="s">
        <v>135</v>
      </c>
      <c r="D62" s="147">
        <v>26.79</v>
      </c>
      <c r="E62" s="147">
        <v>26.79</v>
      </c>
      <c r="F62" s="148">
        <f t="shared" si="2"/>
        <v>0</v>
      </c>
      <c r="G62" s="148">
        <f t="shared" si="3"/>
        <v>0</v>
      </c>
      <c r="H62" s="99"/>
    </row>
    <row r="63" spans="1:8" ht="18" customHeight="1" hidden="1">
      <c r="A63" s="97"/>
      <c r="B63" s="104" t="s">
        <v>190</v>
      </c>
      <c r="C63" s="28" t="s">
        <v>5</v>
      </c>
      <c r="D63" s="147">
        <v>5229.63</v>
      </c>
      <c r="E63" s="147">
        <v>8102.34</v>
      </c>
      <c r="F63" s="148">
        <f t="shared" si="2"/>
        <v>2872.71</v>
      </c>
      <c r="G63" s="148">
        <f t="shared" si="3"/>
        <v>54.931419622420705</v>
      </c>
      <c r="H63" s="99"/>
    </row>
    <row r="64" spans="1:8" ht="18" customHeight="1" hidden="1">
      <c r="A64" s="97"/>
      <c r="B64" s="58" t="s">
        <v>191</v>
      </c>
      <c r="C64" s="28" t="s">
        <v>5</v>
      </c>
      <c r="D64" s="147">
        <v>5229.63</v>
      </c>
      <c r="E64" s="147">
        <v>8102.34</v>
      </c>
      <c r="F64" s="148">
        <f t="shared" si="2"/>
        <v>2872.71</v>
      </c>
      <c r="G64" s="148">
        <f t="shared" si="3"/>
        <v>54.931419622420705</v>
      </c>
      <c r="H64" s="99"/>
    </row>
    <row r="65" spans="1:8" ht="15" hidden="1">
      <c r="A65" s="97"/>
      <c r="B65" s="58" t="s">
        <v>142</v>
      </c>
      <c r="C65" s="28" t="s">
        <v>107</v>
      </c>
      <c r="D65" s="147">
        <v>3081.69</v>
      </c>
      <c r="E65" s="147">
        <v>4774.51</v>
      </c>
      <c r="F65" s="148">
        <f t="shared" si="2"/>
        <v>1692.8200000000002</v>
      </c>
      <c r="G65" s="148">
        <f t="shared" si="3"/>
        <v>54.93154730034494</v>
      </c>
      <c r="H65" s="99"/>
    </row>
    <row r="66" spans="1:8" ht="15" hidden="1">
      <c r="A66" s="97"/>
      <c r="B66" s="58" t="s">
        <v>145</v>
      </c>
      <c r="C66" s="28" t="s">
        <v>135</v>
      </c>
      <c r="D66" s="147">
        <v>1.7</v>
      </c>
      <c r="E66" s="147">
        <v>1.7</v>
      </c>
      <c r="F66" s="148">
        <f t="shared" si="2"/>
        <v>0</v>
      </c>
      <c r="G66" s="148">
        <f t="shared" si="3"/>
        <v>0</v>
      </c>
      <c r="H66" s="99"/>
    </row>
    <row r="67" spans="1:8" ht="15.75" customHeight="1">
      <c r="A67" s="97"/>
      <c r="B67" s="98" t="s">
        <v>149</v>
      </c>
      <c r="C67" s="28" t="s">
        <v>107</v>
      </c>
      <c r="D67" s="99">
        <v>154</v>
      </c>
      <c r="E67" s="99">
        <v>150.47</v>
      </c>
      <c r="F67" s="100">
        <f t="shared" si="2"/>
        <v>-3.530000000000001</v>
      </c>
      <c r="G67" s="100">
        <f t="shared" si="3"/>
        <v>-2.292207792207793</v>
      </c>
      <c r="H67" s="99"/>
    </row>
    <row r="68" spans="1:8" ht="16.5" customHeight="1">
      <c r="A68" s="95" t="s">
        <v>192</v>
      </c>
      <c r="B68" s="96" t="s">
        <v>193</v>
      </c>
      <c r="C68" s="28" t="s">
        <v>5</v>
      </c>
      <c r="D68" s="94">
        <f>D69+D70</f>
        <v>153337.47999999998</v>
      </c>
      <c r="E68" s="94">
        <f>E69+E70</f>
        <v>165877.85</v>
      </c>
      <c r="F68" s="93">
        <f t="shared" si="2"/>
        <v>12540.370000000024</v>
      </c>
      <c r="G68" s="93">
        <f t="shared" si="3"/>
        <v>8.178281004748497</v>
      </c>
      <c r="H68" s="94"/>
    </row>
    <row r="69" spans="1:8" ht="30" hidden="1">
      <c r="A69" s="97" t="s">
        <v>17</v>
      </c>
      <c r="B69" s="98" t="s">
        <v>9</v>
      </c>
      <c r="C69" s="28" t="s">
        <v>5</v>
      </c>
      <c r="D69" s="105">
        <v>139524.55</v>
      </c>
      <c r="E69" s="105">
        <v>149445.9</v>
      </c>
      <c r="F69" s="100">
        <f t="shared" si="2"/>
        <v>9921.350000000006</v>
      </c>
      <c r="G69" s="100">
        <f t="shared" si="3"/>
        <v>7.1108274493628585</v>
      </c>
      <c r="H69" s="136" t="s">
        <v>270</v>
      </c>
    </row>
    <row r="70" spans="1:8" ht="16.5" customHeight="1" hidden="1">
      <c r="A70" s="97" t="s">
        <v>18</v>
      </c>
      <c r="B70" s="98" t="s">
        <v>194</v>
      </c>
      <c r="C70" s="28" t="s">
        <v>5</v>
      </c>
      <c r="D70" s="99">
        <v>13812.93</v>
      </c>
      <c r="E70" s="99">
        <v>16431.95</v>
      </c>
      <c r="F70" s="100">
        <f t="shared" si="2"/>
        <v>2619.0200000000004</v>
      </c>
      <c r="G70" s="100">
        <f t="shared" si="3"/>
        <v>18.960640501327383</v>
      </c>
      <c r="H70" s="99"/>
    </row>
    <row r="71" spans="1:10" ht="15" customHeight="1">
      <c r="A71" s="95" t="s">
        <v>195</v>
      </c>
      <c r="B71" s="96" t="s">
        <v>196</v>
      </c>
      <c r="C71" s="28" t="s">
        <v>5</v>
      </c>
      <c r="D71" s="94">
        <v>31161.31</v>
      </c>
      <c r="E71" s="94">
        <v>409618.41</v>
      </c>
      <c r="F71" s="93">
        <f t="shared" si="2"/>
        <v>378457.1</v>
      </c>
      <c r="G71" s="93">
        <f t="shared" si="3"/>
        <v>1214.5095953924913</v>
      </c>
      <c r="H71" s="94"/>
      <c r="J71" s="107" t="s">
        <v>197</v>
      </c>
    </row>
    <row r="72" spans="1:8" ht="15.75" customHeight="1">
      <c r="A72" s="95" t="s">
        <v>198</v>
      </c>
      <c r="B72" s="108" t="s">
        <v>199</v>
      </c>
      <c r="C72" s="28" t="s">
        <v>5</v>
      </c>
      <c r="D72" s="94">
        <f>D73</f>
        <v>14212.54</v>
      </c>
      <c r="E72" s="94">
        <f>E73</f>
        <v>16008.19</v>
      </c>
      <c r="F72" s="93">
        <f t="shared" si="2"/>
        <v>1795.6499999999996</v>
      </c>
      <c r="G72" s="93">
        <f t="shared" si="3"/>
        <v>12.63426523337841</v>
      </c>
      <c r="H72" s="94"/>
    </row>
    <row r="73" spans="1:8" s="112" customFormat="1" ht="11.25" customHeight="1" hidden="1">
      <c r="A73" s="194" t="s">
        <v>74</v>
      </c>
      <c r="B73" s="197" t="s">
        <v>200</v>
      </c>
      <c r="C73" s="168" t="s">
        <v>5</v>
      </c>
      <c r="D73" s="201">
        <v>14212.54</v>
      </c>
      <c r="E73" s="201">
        <v>16008.19</v>
      </c>
      <c r="F73" s="201">
        <f>E73-D73</f>
        <v>1795.6499999999996</v>
      </c>
      <c r="G73" s="201">
        <f>F73/D73*100</f>
        <v>12.63426523337841</v>
      </c>
      <c r="H73" s="201"/>
    </row>
    <row r="74" spans="1:8" s="112" customFormat="1" ht="21" customHeight="1" hidden="1">
      <c r="A74" s="195"/>
      <c r="B74" s="198"/>
      <c r="C74" s="200"/>
      <c r="D74" s="202"/>
      <c r="E74" s="202"/>
      <c r="F74" s="202"/>
      <c r="G74" s="202"/>
      <c r="H74" s="202"/>
    </row>
    <row r="75" spans="1:8" ht="11.25" hidden="1">
      <c r="A75" s="196"/>
      <c r="B75" s="199"/>
      <c r="C75" s="169"/>
      <c r="D75" s="203"/>
      <c r="E75" s="203"/>
      <c r="F75" s="203"/>
      <c r="G75" s="203"/>
      <c r="H75" s="203"/>
    </row>
    <row r="76" spans="1:8" ht="16.5" customHeight="1">
      <c r="A76" s="95" t="s">
        <v>201</v>
      </c>
      <c r="B76" s="108" t="s">
        <v>11</v>
      </c>
      <c r="C76" s="28" t="s">
        <v>5</v>
      </c>
      <c r="D76" s="94">
        <f>D77+D78+D79+D89+D90+D91+D92+D93+D94+D95+D96+D97+D98+D99+D102+D103+D104+D105+D106+D107+D108+D109+D110+D111+D112+D113+D114+D115+D116</f>
        <v>32259.94</v>
      </c>
      <c r="E76" s="94">
        <f>E77+E78+E79+E89+E90+E91+E92+E93+E94+E95+E96+E97+E98+E99+E102+E103+E104+E105+E106+E107+E108+E109+E110+E111+E112+E113+E114+E115+E116</f>
        <v>40932.34</v>
      </c>
      <c r="F76" s="94">
        <f>E76-D76</f>
        <v>8672.399999999998</v>
      </c>
      <c r="G76" s="94">
        <f aca="true" t="shared" si="4" ref="G76:G83">F76/D76*100</f>
        <v>26.882877029529496</v>
      </c>
      <c r="H76" s="94"/>
    </row>
    <row r="77" spans="1:8" ht="16.5" customHeight="1" hidden="1">
      <c r="A77" s="131" t="s">
        <v>35</v>
      </c>
      <c r="B77" s="25" t="s">
        <v>92</v>
      </c>
      <c r="C77" s="5" t="s">
        <v>70</v>
      </c>
      <c r="D77" s="132">
        <v>145.69</v>
      </c>
      <c r="E77" s="132">
        <v>1013.55</v>
      </c>
      <c r="F77" s="132">
        <f>E77-D77</f>
        <v>867.8599999999999</v>
      </c>
      <c r="G77" s="133">
        <f t="shared" si="4"/>
        <v>595.689477658041</v>
      </c>
      <c r="H77" s="111"/>
    </row>
    <row r="78" spans="1:8" ht="25.5" hidden="1">
      <c r="A78" s="109" t="s">
        <v>36</v>
      </c>
      <c r="B78" s="110" t="s">
        <v>202</v>
      </c>
      <c r="C78" s="26" t="s">
        <v>5</v>
      </c>
      <c r="D78" s="111">
        <v>63</v>
      </c>
      <c r="E78" s="111">
        <v>394.14</v>
      </c>
      <c r="F78" s="111">
        <f>E78-D78</f>
        <v>331.14</v>
      </c>
      <c r="G78" s="111">
        <f t="shared" si="4"/>
        <v>525.6190476190476</v>
      </c>
      <c r="H78" s="111"/>
    </row>
    <row r="79" spans="1:8" ht="15" hidden="1">
      <c r="A79" s="97" t="s">
        <v>37</v>
      </c>
      <c r="B79" s="103" t="s">
        <v>203</v>
      </c>
      <c r="C79" s="28" t="s">
        <v>5</v>
      </c>
      <c r="D79" s="99">
        <f>D80+D83</f>
        <v>3715.39</v>
      </c>
      <c r="E79" s="99">
        <f>E80+E83</f>
        <v>3614.12</v>
      </c>
      <c r="F79" s="111">
        <f aca="true" t="shared" si="5" ref="F79:F116">E79-D79</f>
        <v>-101.26999999999998</v>
      </c>
      <c r="G79" s="111">
        <f t="shared" si="4"/>
        <v>-2.72568963150571</v>
      </c>
      <c r="H79" s="113"/>
    </row>
    <row r="80" spans="1:8" ht="24.75" customHeight="1" hidden="1">
      <c r="A80" s="97"/>
      <c r="B80" s="114" t="s">
        <v>204</v>
      </c>
      <c r="C80" s="28" t="s">
        <v>70</v>
      </c>
      <c r="D80" s="147">
        <v>977.68</v>
      </c>
      <c r="E80" s="147">
        <v>1165.58</v>
      </c>
      <c r="F80" s="150">
        <f t="shared" si="5"/>
        <v>187.89999999999998</v>
      </c>
      <c r="G80" s="150">
        <f t="shared" si="4"/>
        <v>19.21896735128058</v>
      </c>
      <c r="H80" s="99"/>
    </row>
    <row r="81" spans="1:8" s="112" customFormat="1" ht="17.25" customHeight="1" hidden="1">
      <c r="A81" s="97"/>
      <c r="B81" s="58" t="s">
        <v>205</v>
      </c>
      <c r="C81" s="28" t="s">
        <v>151</v>
      </c>
      <c r="D81" s="147">
        <v>116.55</v>
      </c>
      <c r="E81" s="147">
        <v>138.95</v>
      </c>
      <c r="F81" s="150">
        <f t="shared" si="5"/>
        <v>22.39999999999999</v>
      </c>
      <c r="G81" s="150">
        <f t="shared" si="4"/>
        <v>19.219219219219212</v>
      </c>
      <c r="H81" s="99"/>
    </row>
    <row r="82" spans="1:8" ht="12" customHeight="1" hidden="1">
      <c r="A82" s="97"/>
      <c r="B82" s="58" t="s">
        <v>145</v>
      </c>
      <c r="C82" s="28" t="s">
        <v>135</v>
      </c>
      <c r="D82" s="147">
        <v>8388.5</v>
      </c>
      <c r="E82" s="147">
        <v>8388.5</v>
      </c>
      <c r="F82" s="150">
        <f t="shared" si="5"/>
        <v>0</v>
      </c>
      <c r="G82" s="150">
        <f t="shared" si="4"/>
        <v>0</v>
      </c>
      <c r="H82" s="99"/>
    </row>
    <row r="83" spans="1:8" ht="25.5" hidden="1">
      <c r="A83" s="97"/>
      <c r="B83" s="114" t="s">
        <v>272</v>
      </c>
      <c r="C83" s="28" t="s">
        <v>70</v>
      </c>
      <c r="D83" s="147">
        <v>2737.71</v>
      </c>
      <c r="E83" s="147">
        <v>2448.54</v>
      </c>
      <c r="F83" s="150">
        <f t="shared" si="5"/>
        <v>-289.1700000000001</v>
      </c>
      <c r="G83" s="150">
        <f t="shared" si="4"/>
        <v>-10.562477398994051</v>
      </c>
      <c r="H83" s="99"/>
    </row>
    <row r="84" spans="1:8" ht="21.75" customHeight="1" hidden="1">
      <c r="A84" s="97"/>
      <c r="B84" s="58" t="s">
        <v>205</v>
      </c>
      <c r="C84" s="28" t="s">
        <v>151</v>
      </c>
      <c r="D84" s="147"/>
      <c r="E84" s="147"/>
      <c r="F84" s="150">
        <f t="shared" si="5"/>
        <v>0</v>
      </c>
      <c r="G84" s="150" t="e">
        <f aca="true" t="shared" si="6" ref="G84:G116">F84/D84*100</f>
        <v>#DIV/0!</v>
      </c>
      <c r="H84" s="99"/>
    </row>
    <row r="85" spans="1:8" ht="13.5" customHeight="1" hidden="1">
      <c r="A85" s="97"/>
      <c r="B85" s="58" t="s">
        <v>145</v>
      </c>
      <c r="C85" s="28" t="s">
        <v>135</v>
      </c>
      <c r="D85" s="147"/>
      <c r="E85" s="147"/>
      <c r="F85" s="150">
        <f t="shared" si="5"/>
        <v>0</v>
      </c>
      <c r="G85" s="150" t="e">
        <f t="shared" si="6"/>
        <v>#DIV/0!</v>
      </c>
      <c r="H85" s="99"/>
    </row>
    <row r="86" spans="1:8" ht="13.5" customHeight="1" hidden="1">
      <c r="A86" s="97"/>
      <c r="B86" s="58" t="s">
        <v>206</v>
      </c>
      <c r="C86" s="28" t="s">
        <v>70</v>
      </c>
      <c r="D86" s="147">
        <v>2737.71</v>
      </c>
      <c r="E86" s="147">
        <v>2448.54</v>
      </c>
      <c r="F86" s="150">
        <f t="shared" si="5"/>
        <v>-289.1700000000001</v>
      </c>
      <c r="G86" s="150">
        <f t="shared" si="6"/>
        <v>-10.562477398994051</v>
      </c>
      <c r="H86" s="99"/>
    </row>
    <row r="87" spans="1:8" ht="13.5" customHeight="1" hidden="1">
      <c r="A87" s="97"/>
      <c r="B87" s="58" t="s">
        <v>205</v>
      </c>
      <c r="C87" s="28" t="s">
        <v>151</v>
      </c>
      <c r="D87" s="147">
        <v>584.62</v>
      </c>
      <c r="E87" s="147">
        <v>522.87</v>
      </c>
      <c r="F87" s="150">
        <f t="shared" si="5"/>
        <v>-61.75</v>
      </c>
      <c r="G87" s="150">
        <f t="shared" si="6"/>
        <v>-10.562416612500428</v>
      </c>
      <c r="H87" s="99"/>
    </row>
    <row r="88" spans="1:8" ht="13.5" customHeight="1" hidden="1">
      <c r="A88" s="97"/>
      <c r="B88" s="58" t="s">
        <v>145</v>
      </c>
      <c r="C88" s="28" t="s">
        <v>135</v>
      </c>
      <c r="D88" s="147">
        <v>4682.89</v>
      </c>
      <c r="E88" s="147">
        <v>4682.89</v>
      </c>
      <c r="F88" s="150">
        <f t="shared" si="5"/>
        <v>0</v>
      </c>
      <c r="G88" s="150">
        <f t="shared" si="6"/>
        <v>0</v>
      </c>
      <c r="H88" s="99"/>
    </row>
    <row r="89" spans="1:8" ht="13.5" customHeight="1" hidden="1">
      <c r="A89" s="97" t="s">
        <v>38</v>
      </c>
      <c r="B89" s="103" t="s">
        <v>207</v>
      </c>
      <c r="C89" s="28" t="s">
        <v>5</v>
      </c>
      <c r="D89" s="99">
        <v>997</v>
      </c>
      <c r="E89" s="99">
        <v>996.82</v>
      </c>
      <c r="F89" s="99">
        <f t="shared" si="5"/>
        <v>-0.17999999999994998</v>
      </c>
      <c r="G89" s="99">
        <f t="shared" si="6"/>
        <v>-0.01805416248745737</v>
      </c>
      <c r="H89" s="99"/>
    </row>
    <row r="90" spans="1:8" ht="17.25" customHeight="1" hidden="1">
      <c r="A90" s="97" t="s">
        <v>39</v>
      </c>
      <c r="B90" s="101" t="s">
        <v>208</v>
      </c>
      <c r="C90" s="28" t="s">
        <v>5</v>
      </c>
      <c r="D90" s="99">
        <v>177.11</v>
      </c>
      <c r="E90" s="99">
        <v>1395.36</v>
      </c>
      <c r="F90" s="99">
        <f t="shared" si="5"/>
        <v>1218.25</v>
      </c>
      <c r="G90" s="99">
        <f t="shared" si="6"/>
        <v>687.8493591553272</v>
      </c>
      <c r="H90" s="99"/>
    </row>
    <row r="91" spans="1:8" ht="38.25" hidden="1">
      <c r="A91" s="97" t="s">
        <v>40</v>
      </c>
      <c r="B91" s="103" t="s">
        <v>209</v>
      </c>
      <c r="C91" s="28" t="s">
        <v>5</v>
      </c>
      <c r="D91" s="99">
        <v>289.28</v>
      </c>
      <c r="E91" s="99">
        <v>289.28</v>
      </c>
      <c r="F91" s="99">
        <f t="shared" si="5"/>
        <v>0</v>
      </c>
      <c r="G91" s="99">
        <f t="shared" si="6"/>
        <v>0</v>
      </c>
      <c r="H91" s="99"/>
    </row>
    <row r="92" spans="1:8" ht="15" hidden="1">
      <c r="A92" s="97" t="s">
        <v>41</v>
      </c>
      <c r="B92" s="101" t="s">
        <v>78</v>
      </c>
      <c r="C92" s="28" t="s">
        <v>5</v>
      </c>
      <c r="D92" s="99">
        <v>462.93</v>
      </c>
      <c r="E92" s="99">
        <v>810.13</v>
      </c>
      <c r="F92" s="99">
        <f t="shared" si="5"/>
        <v>347.2</v>
      </c>
      <c r="G92" s="99">
        <f t="shared" si="6"/>
        <v>75.00054003845074</v>
      </c>
      <c r="H92" s="99"/>
    </row>
    <row r="93" spans="1:8" ht="15" hidden="1">
      <c r="A93" s="97" t="s">
        <v>42</v>
      </c>
      <c r="B93" s="101" t="s">
        <v>79</v>
      </c>
      <c r="C93" s="28" t="s">
        <v>5</v>
      </c>
      <c r="D93" s="99">
        <v>16.52</v>
      </c>
      <c r="E93" s="99">
        <v>260.74</v>
      </c>
      <c r="F93" s="99">
        <f t="shared" si="5"/>
        <v>244.22</v>
      </c>
      <c r="G93" s="99">
        <f t="shared" si="6"/>
        <v>1478.3292978208233</v>
      </c>
      <c r="H93" s="99"/>
    </row>
    <row r="94" spans="1:8" ht="15" hidden="1">
      <c r="A94" s="97" t="s">
        <v>43</v>
      </c>
      <c r="B94" s="101" t="s">
        <v>80</v>
      </c>
      <c r="C94" s="28" t="s">
        <v>5</v>
      </c>
      <c r="D94" s="99">
        <v>72.5</v>
      </c>
      <c r="E94" s="99">
        <v>60</v>
      </c>
      <c r="F94" s="99">
        <f t="shared" si="5"/>
        <v>-12.5</v>
      </c>
      <c r="G94" s="99">
        <f t="shared" si="6"/>
        <v>-17.24137931034483</v>
      </c>
      <c r="H94" s="99"/>
    </row>
    <row r="95" spans="1:8" ht="17.25" customHeight="1" hidden="1">
      <c r="A95" s="97" t="s">
        <v>44</v>
      </c>
      <c r="B95" s="101" t="s">
        <v>210</v>
      </c>
      <c r="C95" s="28" t="s">
        <v>5</v>
      </c>
      <c r="D95" s="99">
        <v>464.16</v>
      </c>
      <c r="E95" s="99">
        <v>962.02</v>
      </c>
      <c r="F95" s="99">
        <f t="shared" si="5"/>
        <v>497.85999999999996</v>
      </c>
      <c r="G95" s="99">
        <f t="shared" si="6"/>
        <v>107.26042743881419</v>
      </c>
      <c r="H95" s="99"/>
    </row>
    <row r="96" spans="1:8" ht="15" customHeight="1" hidden="1">
      <c r="A96" s="97" t="s">
        <v>45</v>
      </c>
      <c r="B96" s="101" t="s">
        <v>81</v>
      </c>
      <c r="C96" s="28" t="s">
        <v>5</v>
      </c>
      <c r="D96" s="99">
        <v>2746.07</v>
      </c>
      <c r="E96" s="99">
        <v>2986.6</v>
      </c>
      <c r="F96" s="99">
        <f t="shared" si="5"/>
        <v>240.52999999999975</v>
      </c>
      <c r="G96" s="99">
        <f t="shared" si="6"/>
        <v>8.759062951781992</v>
      </c>
      <c r="H96" s="99"/>
    </row>
    <row r="97" spans="1:8" ht="15" customHeight="1" hidden="1">
      <c r="A97" s="97" t="s">
        <v>46</v>
      </c>
      <c r="B97" s="101" t="s">
        <v>211</v>
      </c>
      <c r="C97" s="28" t="s">
        <v>5</v>
      </c>
      <c r="D97" s="99">
        <v>305.9</v>
      </c>
      <c r="E97" s="99">
        <v>446.73</v>
      </c>
      <c r="F97" s="99">
        <f t="shared" si="5"/>
        <v>140.83000000000004</v>
      </c>
      <c r="G97" s="99">
        <f t="shared" si="6"/>
        <v>46.03792088917949</v>
      </c>
      <c r="H97" s="99"/>
    </row>
    <row r="98" spans="1:8" ht="17.25" customHeight="1" hidden="1">
      <c r="A98" s="97" t="s">
        <v>47</v>
      </c>
      <c r="B98" s="101" t="s">
        <v>212</v>
      </c>
      <c r="C98" s="28" t="s">
        <v>5</v>
      </c>
      <c r="D98" s="99">
        <v>763.88</v>
      </c>
      <c r="E98" s="99">
        <v>1127.92</v>
      </c>
      <c r="F98" s="99">
        <f t="shared" si="5"/>
        <v>364.0400000000001</v>
      </c>
      <c r="G98" s="99">
        <f t="shared" si="6"/>
        <v>47.65670000523644</v>
      </c>
      <c r="H98" s="99"/>
    </row>
    <row r="99" spans="1:8" ht="16.5" customHeight="1" hidden="1">
      <c r="A99" s="97" t="s">
        <v>48</v>
      </c>
      <c r="B99" s="101" t="s">
        <v>258</v>
      </c>
      <c r="C99" s="28" t="s">
        <v>5</v>
      </c>
      <c r="D99" s="99">
        <v>328.43</v>
      </c>
      <c r="E99" s="99">
        <v>805.75</v>
      </c>
      <c r="F99" s="99">
        <f t="shared" si="5"/>
        <v>477.32</v>
      </c>
      <c r="G99" s="99">
        <f t="shared" si="6"/>
        <v>145.33386109673293</v>
      </c>
      <c r="H99" s="99"/>
    </row>
    <row r="100" spans="1:8" ht="17.25" customHeight="1" hidden="1">
      <c r="A100" s="97" t="s">
        <v>45</v>
      </c>
      <c r="B100" s="102" t="s">
        <v>213</v>
      </c>
      <c r="C100" s="28" t="s">
        <v>5</v>
      </c>
      <c r="D100" s="99"/>
      <c r="E100" s="99"/>
      <c r="F100" s="99">
        <f t="shared" si="5"/>
        <v>0</v>
      </c>
      <c r="G100" s="99" t="e">
        <f t="shared" si="6"/>
        <v>#DIV/0!</v>
      </c>
      <c r="H100" s="99"/>
    </row>
    <row r="101" spans="1:8" ht="27" customHeight="1" hidden="1">
      <c r="A101" s="97" t="s">
        <v>47</v>
      </c>
      <c r="B101" s="98" t="s">
        <v>214</v>
      </c>
      <c r="C101" s="28" t="s">
        <v>5</v>
      </c>
      <c r="D101" s="99"/>
      <c r="E101" s="99"/>
      <c r="F101" s="99">
        <f t="shared" si="5"/>
        <v>0</v>
      </c>
      <c r="G101" s="99" t="e">
        <f t="shared" si="6"/>
        <v>#DIV/0!</v>
      </c>
      <c r="H101" s="99"/>
    </row>
    <row r="102" spans="1:8" ht="18" customHeight="1" hidden="1">
      <c r="A102" s="97" t="s">
        <v>49</v>
      </c>
      <c r="B102" s="98" t="s">
        <v>215</v>
      </c>
      <c r="C102" s="28" t="s">
        <v>5</v>
      </c>
      <c r="D102" s="99">
        <v>204.57</v>
      </c>
      <c r="E102" s="99">
        <v>318.91</v>
      </c>
      <c r="F102" s="99">
        <f t="shared" si="5"/>
        <v>114.34000000000003</v>
      </c>
      <c r="G102" s="99">
        <f t="shared" si="6"/>
        <v>55.892848413745924</v>
      </c>
      <c r="H102" s="99"/>
    </row>
    <row r="103" spans="1:8" ht="17.25" customHeight="1" hidden="1">
      <c r="A103" s="97" t="s">
        <v>50</v>
      </c>
      <c r="B103" s="98" t="s">
        <v>216</v>
      </c>
      <c r="C103" s="28" t="s">
        <v>5</v>
      </c>
      <c r="D103" s="99">
        <v>209.13</v>
      </c>
      <c r="E103" s="99">
        <v>348.48</v>
      </c>
      <c r="F103" s="99">
        <f t="shared" si="5"/>
        <v>139.35000000000002</v>
      </c>
      <c r="G103" s="99">
        <f t="shared" si="6"/>
        <v>66.63319466360637</v>
      </c>
      <c r="H103" s="99"/>
    </row>
    <row r="104" spans="1:8" ht="17.25" customHeight="1" hidden="1">
      <c r="A104" s="97" t="s">
        <v>51</v>
      </c>
      <c r="B104" s="98" t="s">
        <v>82</v>
      </c>
      <c r="C104" s="28" t="s">
        <v>5</v>
      </c>
      <c r="D104" s="99">
        <v>178.57</v>
      </c>
      <c r="E104" s="99">
        <v>178.57</v>
      </c>
      <c r="F104" s="99">
        <f t="shared" si="5"/>
        <v>0</v>
      </c>
      <c r="G104" s="99">
        <f t="shared" si="6"/>
        <v>0</v>
      </c>
      <c r="H104" s="99"/>
    </row>
    <row r="105" spans="1:8" ht="17.25" customHeight="1" hidden="1">
      <c r="A105" s="97" t="s">
        <v>52</v>
      </c>
      <c r="B105" s="98" t="s">
        <v>83</v>
      </c>
      <c r="C105" s="28" t="s">
        <v>5</v>
      </c>
      <c r="D105" s="99">
        <v>48.09</v>
      </c>
      <c r="E105" s="99">
        <v>48.09</v>
      </c>
      <c r="F105" s="99">
        <f t="shared" si="5"/>
        <v>0</v>
      </c>
      <c r="G105" s="99">
        <f t="shared" si="6"/>
        <v>0</v>
      </c>
      <c r="H105" s="99"/>
    </row>
    <row r="106" spans="1:8" ht="16.5" customHeight="1" hidden="1">
      <c r="A106" s="97" t="s">
        <v>53</v>
      </c>
      <c r="B106" s="98" t="s">
        <v>217</v>
      </c>
      <c r="C106" s="28" t="s">
        <v>5</v>
      </c>
      <c r="D106" s="99">
        <v>2268.7</v>
      </c>
      <c r="E106" s="99">
        <v>2268.7</v>
      </c>
      <c r="F106" s="99">
        <f t="shared" si="5"/>
        <v>0</v>
      </c>
      <c r="G106" s="99">
        <f t="shared" si="6"/>
        <v>0</v>
      </c>
      <c r="H106" s="99"/>
    </row>
    <row r="107" spans="1:8" ht="17.25" customHeight="1" hidden="1">
      <c r="A107" s="97" t="s">
        <v>54</v>
      </c>
      <c r="B107" s="98" t="s">
        <v>218</v>
      </c>
      <c r="C107" s="28" t="s">
        <v>5</v>
      </c>
      <c r="D107" s="99">
        <v>825.3</v>
      </c>
      <c r="E107" s="99">
        <v>1057.4</v>
      </c>
      <c r="F107" s="99">
        <f t="shared" si="5"/>
        <v>232.10000000000014</v>
      </c>
      <c r="G107" s="99">
        <f t="shared" si="6"/>
        <v>28.123106749060966</v>
      </c>
      <c r="H107" s="99"/>
    </row>
    <row r="108" spans="1:8" ht="18.75" customHeight="1" hidden="1">
      <c r="A108" s="97" t="s">
        <v>55</v>
      </c>
      <c r="B108" s="98" t="s">
        <v>219</v>
      </c>
      <c r="C108" s="28" t="s">
        <v>5</v>
      </c>
      <c r="D108" s="99">
        <v>51.51</v>
      </c>
      <c r="E108" s="99">
        <v>719.35</v>
      </c>
      <c r="F108" s="99">
        <f t="shared" si="5"/>
        <v>667.84</v>
      </c>
      <c r="G108" s="99">
        <f t="shared" si="6"/>
        <v>1296.5249466123082</v>
      </c>
      <c r="H108" s="99"/>
    </row>
    <row r="109" spans="1:8" ht="16.5" customHeight="1" hidden="1">
      <c r="A109" s="97" t="s">
        <v>75</v>
      </c>
      <c r="B109" s="98" t="s">
        <v>220</v>
      </c>
      <c r="C109" s="28" t="s">
        <v>5</v>
      </c>
      <c r="D109" s="99">
        <v>21.77</v>
      </c>
      <c r="E109" s="99">
        <v>23.85</v>
      </c>
      <c r="F109" s="99">
        <f t="shared" si="5"/>
        <v>2.080000000000002</v>
      </c>
      <c r="G109" s="99">
        <f t="shared" si="6"/>
        <v>9.554432705558117</v>
      </c>
      <c r="H109" s="99"/>
    </row>
    <row r="110" spans="1:8" ht="17.25" customHeight="1" hidden="1">
      <c r="A110" s="97" t="s">
        <v>76</v>
      </c>
      <c r="B110" s="98" t="s">
        <v>221</v>
      </c>
      <c r="C110" s="28" t="s">
        <v>5</v>
      </c>
      <c r="D110" s="99">
        <v>199.29</v>
      </c>
      <c r="E110" s="99">
        <v>192.14</v>
      </c>
      <c r="F110" s="99">
        <f t="shared" si="5"/>
        <v>-7.150000000000006</v>
      </c>
      <c r="G110" s="99">
        <f t="shared" si="6"/>
        <v>-3.5877364644487963</v>
      </c>
      <c r="H110" s="99"/>
    </row>
    <row r="111" spans="1:8" ht="16.5" customHeight="1" hidden="1">
      <c r="A111" s="97" t="s">
        <v>85</v>
      </c>
      <c r="B111" s="98" t="s">
        <v>222</v>
      </c>
      <c r="C111" s="28" t="s">
        <v>5</v>
      </c>
      <c r="D111" s="99">
        <v>556.32</v>
      </c>
      <c r="E111" s="99">
        <v>602.87</v>
      </c>
      <c r="F111" s="99">
        <f t="shared" si="5"/>
        <v>46.549999999999955</v>
      </c>
      <c r="G111" s="99">
        <f t="shared" si="6"/>
        <v>8.367486338797805</v>
      </c>
      <c r="H111" s="99"/>
    </row>
    <row r="112" spans="1:8" ht="16.5" customHeight="1" hidden="1">
      <c r="A112" s="97" t="s">
        <v>86</v>
      </c>
      <c r="B112" s="98" t="s">
        <v>223</v>
      </c>
      <c r="C112" s="28" t="s">
        <v>5</v>
      </c>
      <c r="D112" s="99">
        <v>6419.25</v>
      </c>
      <c r="E112" s="99">
        <v>8675.72</v>
      </c>
      <c r="F112" s="99">
        <f t="shared" si="5"/>
        <v>2256.4699999999993</v>
      </c>
      <c r="G112" s="99">
        <f t="shared" si="6"/>
        <v>35.15161428515791</v>
      </c>
      <c r="H112" s="99"/>
    </row>
    <row r="113" spans="1:8" ht="15.75" customHeight="1" hidden="1">
      <c r="A113" s="97" t="s">
        <v>87</v>
      </c>
      <c r="B113" s="102" t="s">
        <v>224</v>
      </c>
      <c r="C113" s="28" t="s">
        <v>5</v>
      </c>
      <c r="D113" s="99">
        <v>9576.6</v>
      </c>
      <c r="E113" s="99">
        <v>10055.43</v>
      </c>
      <c r="F113" s="99">
        <f t="shared" si="5"/>
        <v>478.8299999999999</v>
      </c>
      <c r="G113" s="99">
        <f t="shared" si="6"/>
        <v>4.999999999999999</v>
      </c>
      <c r="H113" s="99"/>
    </row>
    <row r="114" spans="1:8" ht="15.75" customHeight="1" hidden="1">
      <c r="A114" s="97" t="s">
        <v>88</v>
      </c>
      <c r="B114" s="102" t="s">
        <v>225</v>
      </c>
      <c r="C114" s="28" t="s">
        <v>5</v>
      </c>
      <c r="D114" s="99">
        <v>598</v>
      </c>
      <c r="E114" s="99">
        <v>724.69</v>
      </c>
      <c r="F114" s="99">
        <f t="shared" si="5"/>
        <v>126.69000000000005</v>
      </c>
      <c r="G114" s="99">
        <f t="shared" si="6"/>
        <v>21.185618729097</v>
      </c>
      <c r="H114" s="99"/>
    </row>
    <row r="115" spans="1:8" ht="25.5" hidden="1">
      <c r="A115" s="97" t="s">
        <v>89</v>
      </c>
      <c r="B115" s="102" t="s">
        <v>84</v>
      </c>
      <c r="C115" s="28" t="s">
        <v>5</v>
      </c>
      <c r="D115" s="99">
        <v>6.68</v>
      </c>
      <c r="E115" s="99">
        <v>6.68</v>
      </c>
      <c r="F115" s="99">
        <f t="shared" si="5"/>
        <v>0</v>
      </c>
      <c r="G115" s="99">
        <f t="shared" si="6"/>
        <v>0</v>
      </c>
      <c r="H115" s="99"/>
    </row>
    <row r="116" spans="1:8" s="112" customFormat="1" ht="16.5" customHeight="1" hidden="1">
      <c r="A116" s="97" t="s">
        <v>90</v>
      </c>
      <c r="B116" s="102" t="s">
        <v>259</v>
      </c>
      <c r="C116" s="28" t="s">
        <v>5</v>
      </c>
      <c r="D116" s="99">
        <v>548.3</v>
      </c>
      <c r="E116" s="99">
        <v>548.3</v>
      </c>
      <c r="F116" s="99">
        <f t="shared" si="5"/>
        <v>0</v>
      </c>
      <c r="G116" s="99">
        <f t="shared" si="6"/>
        <v>0</v>
      </c>
      <c r="H116" s="99"/>
    </row>
    <row r="117" spans="1:8" s="112" customFormat="1" ht="14.25">
      <c r="A117" s="95" t="s">
        <v>62</v>
      </c>
      <c r="B117" s="96" t="s">
        <v>226</v>
      </c>
      <c r="C117" s="28" t="s">
        <v>5</v>
      </c>
      <c r="D117" s="94">
        <f>D118</f>
        <v>60311.362100000006</v>
      </c>
      <c r="E117" s="94">
        <f>E118</f>
        <v>64893.991675</v>
      </c>
      <c r="F117" s="94">
        <f>E117-D117</f>
        <v>4582.629574999992</v>
      </c>
      <c r="G117" s="94">
        <f>F117/D117*100</f>
        <v>7.598285655365743</v>
      </c>
      <c r="H117" s="94"/>
    </row>
    <row r="118" spans="1:8" ht="14.25" hidden="1">
      <c r="A118" s="95" t="s">
        <v>227</v>
      </c>
      <c r="B118" s="98" t="s">
        <v>13</v>
      </c>
      <c r="C118" s="28" t="s">
        <v>5</v>
      </c>
      <c r="D118" s="94">
        <f>D119+D120+D121+D122+D123+D124+D125+D129+D130+D131+D132+D133+D134+D135+D136+D137+D143+D144+D145+D146+D147+D138</f>
        <v>60311.362100000006</v>
      </c>
      <c r="E118" s="94">
        <f>E119+E120+E121+E122+E123+E124+E125+E129+E130+E131+E132+E133+E134+E135+E136+E137+E143+E144+E145+E146+E147+E138</f>
        <v>64893.991675</v>
      </c>
      <c r="F118" s="94">
        <f>E118-D118</f>
        <v>4582.629574999992</v>
      </c>
      <c r="G118" s="94">
        <f>F118/D118*100</f>
        <v>7.598285655365743</v>
      </c>
      <c r="H118" s="94"/>
    </row>
    <row r="119" spans="1:8" ht="15.75" customHeight="1" hidden="1">
      <c r="A119" s="97" t="s">
        <v>19</v>
      </c>
      <c r="B119" s="98" t="s">
        <v>228</v>
      </c>
      <c r="C119" s="28" t="s">
        <v>5</v>
      </c>
      <c r="D119" s="105">
        <v>26467.93</v>
      </c>
      <c r="E119" s="105">
        <v>26499.58</v>
      </c>
      <c r="F119" s="99">
        <f>E119-D119</f>
        <v>31.650000000001455</v>
      </c>
      <c r="G119" s="99">
        <f>F119/D119*100</f>
        <v>0.11957867502294835</v>
      </c>
      <c r="H119" s="99"/>
    </row>
    <row r="120" spans="1:8" ht="17.25" customHeight="1" hidden="1">
      <c r="A120" s="97" t="s">
        <v>20</v>
      </c>
      <c r="B120" s="115" t="s">
        <v>194</v>
      </c>
      <c r="C120" s="28" t="s">
        <v>5</v>
      </c>
      <c r="D120" s="99">
        <v>2553.95</v>
      </c>
      <c r="E120" s="99">
        <v>3234.87</v>
      </c>
      <c r="F120" s="99">
        <f aca="true" t="shared" si="7" ref="F120:F155">E120-D120</f>
        <v>680.9200000000001</v>
      </c>
      <c r="G120" s="99">
        <f aca="true" t="shared" si="8" ref="G120:G155">F120/D120*100</f>
        <v>26.661445995418866</v>
      </c>
      <c r="H120" s="99"/>
    </row>
    <row r="121" spans="1:8" ht="16.5" customHeight="1" hidden="1">
      <c r="A121" s="97" t="s">
        <v>21</v>
      </c>
      <c r="B121" s="98" t="s">
        <v>229</v>
      </c>
      <c r="C121" s="28" t="s">
        <v>5</v>
      </c>
      <c r="D121" s="99">
        <v>2005.71</v>
      </c>
      <c r="E121" s="99">
        <v>3443.15</v>
      </c>
      <c r="F121" s="99">
        <f t="shared" si="7"/>
        <v>1437.44</v>
      </c>
      <c r="G121" s="99">
        <f t="shared" si="8"/>
        <v>71.66738960268434</v>
      </c>
      <c r="H121" s="99"/>
    </row>
    <row r="122" spans="1:8" ht="16.5" customHeight="1" hidden="1">
      <c r="A122" s="97" t="s">
        <v>56</v>
      </c>
      <c r="B122" s="98" t="s">
        <v>217</v>
      </c>
      <c r="C122" s="28" t="s">
        <v>5</v>
      </c>
      <c r="D122" s="99">
        <v>505.32</v>
      </c>
      <c r="E122" s="99">
        <v>505.32</v>
      </c>
      <c r="F122" s="99">
        <f t="shared" si="7"/>
        <v>0</v>
      </c>
      <c r="G122" s="99">
        <f t="shared" si="8"/>
        <v>0</v>
      </c>
      <c r="H122" s="99"/>
    </row>
    <row r="123" spans="1:8" ht="14.25" customHeight="1" hidden="1">
      <c r="A123" s="97" t="s">
        <v>22</v>
      </c>
      <c r="B123" s="98" t="s">
        <v>230</v>
      </c>
      <c r="C123" s="28" t="s">
        <v>5</v>
      </c>
      <c r="D123" s="99">
        <v>553.35</v>
      </c>
      <c r="E123" s="99">
        <v>1266.85</v>
      </c>
      <c r="F123" s="99">
        <f t="shared" si="7"/>
        <v>713.4999999999999</v>
      </c>
      <c r="G123" s="99">
        <f t="shared" si="8"/>
        <v>128.9418993403813</v>
      </c>
      <c r="H123" s="99"/>
    </row>
    <row r="124" spans="1:8" ht="25.5" hidden="1">
      <c r="A124" s="97" t="s">
        <v>57</v>
      </c>
      <c r="B124" s="102" t="s">
        <v>68</v>
      </c>
      <c r="C124" s="28" t="s">
        <v>5</v>
      </c>
      <c r="D124" s="99">
        <v>424.31</v>
      </c>
      <c r="E124" s="99">
        <v>643.18</v>
      </c>
      <c r="F124" s="99">
        <f t="shared" si="7"/>
        <v>218.86999999999995</v>
      </c>
      <c r="G124" s="99">
        <f t="shared" si="8"/>
        <v>51.58256934788243</v>
      </c>
      <c r="H124" s="99"/>
    </row>
    <row r="125" spans="1:8" ht="15" hidden="1">
      <c r="A125" s="97" t="s">
        <v>23</v>
      </c>
      <c r="B125" s="102" t="s">
        <v>203</v>
      </c>
      <c r="C125" s="28" t="s">
        <v>5</v>
      </c>
      <c r="D125" s="99">
        <f>D126</f>
        <v>961.3221</v>
      </c>
      <c r="E125" s="99">
        <f>E126</f>
        <v>1078.3416750000001</v>
      </c>
      <c r="F125" s="99">
        <f t="shared" si="7"/>
        <v>117.01957500000015</v>
      </c>
      <c r="G125" s="99">
        <f t="shared" si="8"/>
        <v>12.172774869109963</v>
      </c>
      <c r="H125" s="99"/>
    </row>
    <row r="126" spans="1:8" ht="25.5" hidden="1">
      <c r="A126" s="97"/>
      <c r="B126" s="114" t="s">
        <v>204</v>
      </c>
      <c r="C126" s="28" t="s">
        <v>70</v>
      </c>
      <c r="D126" s="147">
        <f>D127*D128/1000</f>
        <v>961.3221</v>
      </c>
      <c r="E126" s="147">
        <f>E127*E128/1000</f>
        <v>1078.3416750000001</v>
      </c>
      <c r="F126" s="147">
        <f t="shared" si="7"/>
        <v>117.01957500000015</v>
      </c>
      <c r="G126" s="147">
        <f t="shared" si="8"/>
        <v>12.172774869109963</v>
      </c>
      <c r="H126" s="99"/>
    </row>
    <row r="127" spans="1:8" ht="15" hidden="1">
      <c r="A127" s="97"/>
      <c r="B127" s="58" t="s">
        <v>205</v>
      </c>
      <c r="C127" s="28" t="s">
        <v>151</v>
      </c>
      <c r="D127" s="147">
        <v>114.6</v>
      </c>
      <c r="E127" s="147">
        <v>128.55</v>
      </c>
      <c r="F127" s="147">
        <f t="shared" si="7"/>
        <v>13.950000000000017</v>
      </c>
      <c r="G127" s="147">
        <f t="shared" si="8"/>
        <v>12.172774869109963</v>
      </c>
      <c r="H127" s="99"/>
    </row>
    <row r="128" spans="1:8" ht="15" hidden="1">
      <c r="A128" s="97"/>
      <c r="B128" s="58" t="s">
        <v>145</v>
      </c>
      <c r="C128" s="28" t="s">
        <v>135</v>
      </c>
      <c r="D128" s="147">
        <v>8388.5</v>
      </c>
      <c r="E128" s="147">
        <v>8388.5</v>
      </c>
      <c r="F128" s="147">
        <f t="shared" si="7"/>
        <v>0</v>
      </c>
      <c r="G128" s="147">
        <f t="shared" si="8"/>
        <v>0</v>
      </c>
      <c r="H128" s="99"/>
    </row>
    <row r="129" spans="1:8" ht="15" hidden="1">
      <c r="A129" s="97" t="s">
        <v>58</v>
      </c>
      <c r="B129" s="101" t="s">
        <v>208</v>
      </c>
      <c r="C129" s="28" t="s">
        <v>70</v>
      </c>
      <c r="D129" s="99">
        <v>236.28</v>
      </c>
      <c r="E129" s="99">
        <v>326.91</v>
      </c>
      <c r="F129" s="99">
        <f t="shared" si="7"/>
        <v>90.63000000000002</v>
      </c>
      <c r="G129" s="99">
        <f t="shared" si="8"/>
        <v>38.357034027425094</v>
      </c>
      <c r="H129" s="99"/>
    </row>
    <row r="130" spans="1:8" ht="18" customHeight="1" hidden="1">
      <c r="A130" s="97" t="s">
        <v>59</v>
      </c>
      <c r="B130" s="98" t="s">
        <v>91</v>
      </c>
      <c r="C130" s="28" t="s">
        <v>5</v>
      </c>
      <c r="D130" s="99">
        <v>1396</v>
      </c>
      <c r="E130" s="99">
        <v>1688.22</v>
      </c>
      <c r="F130" s="99">
        <f t="shared" si="7"/>
        <v>292.22</v>
      </c>
      <c r="G130" s="99">
        <f t="shared" si="8"/>
        <v>20.932664756446993</v>
      </c>
      <c r="H130" s="99"/>
    </row>
    <row r="131" spans="1:8" ht="18" customHeight="1" hidden="1">
      <c r="A131" s="97" t="s">
        <v>24</v>
      </c>
      <c r="B131" s="98" t="s">
        <v>92</v>
      </c>
      <c r="C131" s="28" t="s">
        <v>5</v>
      </c>
      <c r="D131" s="105">
        <v>567.91</v>
      </c>
      <c r="E131" s="105">
        <v>596.31</v>
      </c>
      <c r="F131" s="99">
        <f t="shared" si="7"/>
        <v>28.399999999999977</v>
      </c>
      <c r="G131" s="99">
        <f t="shared" si="8"/>
        <v>5.000792379074145</v>
      </c>
      <c r="H131" s="99"/>
    </row>
    <row r="132" spans="1:8" ht="18" customHeight="1" hidden="1">
      <c r="A132" s="97" t="s">
        <v>25</v>
      </c>
      <c r="B132" s="98" t="s">
        <v>260</v>
      </c>
      <c r="C132" s="28" t="s">
        <v>5</v>
      </c>
      <c r="D132" s="105">
        <v>73.88</v>
      </c>
      <c r="E132" s="105">
        <v>77.67</v>
      </c>
      <c r="F132" s="99">
        <f t="shared" si="7"/>
        <v>3.7900000000000063</v>
      </c>
      <c r="G132" s="99">
        <f t="shared" si="8"/>
        <v>5.129940443963192</v>
      </c>
      <c r="H132" s="99"/>
    </row>
    <row r="133" spans="1:8" ht="17.25" customHeight="1" hidden="1">
      <c r="A133" s="97" t="s">
        <v>26</v>
      </c>
      <c r="B133" s="98" t="s">
        <v>15</v>
      </c>
      <c r="C133" s="28" t="s">
        <v>5</v>
      </c>
      <c r="D133" s="105">
        <v>18.1</v>
      </c>
      <c r="E133" s="105">
        <v>26.89</v>
      </c>
      <c r="F133" s="99">
        <f t="shared" si="7"/>
        <v>8.79</v>
      </c>
      <c r="G133" s="99">
        <f t="shared" si="8"/>
        <v>48.5635359116022</v>
      </c>
      <c r="H133" s="99"/>
    </row>
    <row r="134" spans="1:8" ht="16.5" customHeight="1" hidden="1">
      <c r="A134" s="97" t="s">
        <v>27</v>
      </c>
      <c r="B134" s="98" t="s">
        <v>261</v>
      </c>
      <c r="C134" s="28" t="s">
        <v>5</v>
      </c>
      <c r="D134" s="99">
        <v>355.19</v>
      </c>
      <c r="E134" s="99">
        <v>690.52</v>
      </c>
      <c r="F134" s="99">
        <f t="shared" si="7"/>
        <v>335.33</v>
      </c>
      <c r="G134" s="99">
        <f t="shared" si="8"/>
        <v>94.40862636898561</v>
      </c>
      <c r="H134" s="99"/>
    </row>
    <row r="135" spans="1:8" ht="16.5" customHeight="1" hidden="1">
      <c r="A135" s="97" t="s">
        <v>28</v>
      </c>
      <c r="B135" s="98" t="s">
        <v>262</v>
      </c>
      <c r="C135" s="28" t="s">
        <v>5</v>
      </c>
      <c r="D135" s="99">
        <v>26.83</v>
      </c>
      <c r="E135" s="99">
        <v>71.46</v>
      </c>
      <c r="F135" s="99">
        <f t="shared" si="7"/>
        <v>44.629999999999995</v>
      </c>
      <c r="G135" s="99">
        <f t="shared" si="8"/>
        <v>166.34364517331346</v>
      </c>
      <c r="H135" s="99"/>
    </row>
    <row r="136" spans="1:8" ht="16.5" customHeight="1" hidden="1">
      <c r="A136" s="97" t="s">
        <v>29</v>
      </c>
      <c r="B136" s="98" t="s">
        <v>93</v>
      </c>
      <c r="C136" s="28" t="s">
        <v>5</v>
      </c>
      <c r="D136" s="99">
        <v>72.76</v>
      </c>
      <c r="E136" s="99">
        <v>72.76</v>
      </c>
      <c r="F136" s="99">
        <f t="shared" si="7"/>
        <v>0</v>
      </c>
      <c r="G136" s="99">
        <f t="shared" si="8"/>
        <v>0</v>
      </c>
      <c r="H136" s="99"/>
    </row>
    <row r="137" spans="1:8" ht="16.5" customHeight="1" hidden="1">
      <c r="A137" s="97" t="s">
        <v>30</v>
      </c>
      <c r="B137" s="98" t="s">
        <v>231</v>
      </c>
      <c r="C137" s="28" t="s">
        <v>5</v>
      </c>
      <c r="D137" s="99">
        <v>625.42</v>
      </c>
      <c r="E137" s="99">
        <v>656.59</v>
      </c>
      <c r="F137" s="99">
        <f t="shared" si="7"/>
        <v>31.170000000000073</v>
      </c>
      <c r="G137" s="99">
        <f t="shared" si="8"/>
        <v>4.983850852227315</v>
      </c>
      <c r="H137" s="99"/>
    </row>
    <row r="138" spans="1:8" ht="16.5" customHeight="1" hidden="1">
      <c r="A138" s="97" t="s">
        <v>67</v>
      </c>
      <c r="B138" s="98" t="s">
        <v>232</v>
      </c>
      <c r="C138" s="28" t="s">
        <v>5</v>
      </c>
      <c r="D138" s="99">
        <f>D140+D141+D142</f>
        <v>4768.8</v>
      </c>
      <c r="E138" s="99">
        <f>E140+E141+E142</f>
        <v>4862.05</v>
      </c>
      <c r="F138" s="99">
        <f t="shared" si="7"/>
        <v>93.25</v>
      </c>
      <c r="G138" s="99">
        <f t="shared" si="8"/>
        <v>1.9554185539339037</v>
      </c>
      <c r="H138" s="99"/>
    </row>
    <row r="139" spans="1:8" ht="17.25" customHeight="1" hidden="1">
      <c r="A139" s="97" t="s">
        <v>29</v>
      </c>
      <c r="B139" s="103" t="s">
        <v>232</v>
      </c>
      <c r="C139" s="28" t="s">
        <v>5</v>
      </c>
      <c r="D139" s="94"/>
      <c r="E139" s="94"/>
      <c r="F139" s="99">
        <f t="shared" si="7"/>
        <v>0</v>
      </c>
      <c r="G139" s="99" t="e">
        <f t="shared" si="8"/>
        <v>#DIV/0!</v>
      </c>
      <c r="H139" s="94"/>
    </row>
    <row r="140" spans="1:8" ht="16.5" customHeight="1" hidden="1">
      <c r="A140" s="97" t="s">
        <v>172</v>
      </c>
      <c r="B140" s="104" t="s">
        <v>263</v>
      </c>
      <c r="C140" s="28" t="s">
        <v>5</v>
      </c>
      <c r="D140" s="99">
        <v>1042.64</v>
      </c>
      <c r="E140" s="99">
        <v>990.51</v>
      </c>
      <c r="F140" s="99">
        <f t="shared" si="7"/>
        <v>-52.13000000000011</v>
      </c>
      <c r="G140" s="99">
        <f t="shared" si="8"/>
        <v>-4.999808179237331</v>
      </c>
      <c r="H140" s="99"/>
    </row>
    <row r="141" spans="1:8" ht="15.75" customHeight="1" hidden="1">
      <c r="A141" s="97" t="s">
        <v>173</v>
      </c>
      <c r="B141" s="104" t="s">
        <v>233</v>
      </c>
      <c r="C141" s="28" t="s">
        <v>5</v>
      </c>
      <c r="D141" s="99">
        <v>3400.87</v>
      </c>
      <c r="E141" s="99">
        <v>3400.87</v>
      </c>
      <c r="F141" s="99">
        <f t="shared" si="7"/>
        <v>0</v>
      </c>
      <c r="G141" s="99">
        <f t="shared" si="8"/>
        <v>0</v>
      </c>
      <c r="H141" s="113"/>
    </row>
    <row r="142" spans="1:8" ht="16.5" customHeight="1" hidden="1">
      <c r="A142" s="97" t="s">
        <v>174</v>
      </c>
      <c r="B142" s="104" t="s">
        <v>234</v>
      </c>
      <c r="C142" s="28" t="s">
        <v>5</v>
      </c>
      <c r="D142" s="99">
        <v>325.29</v>
      </c>
      <c r="E142" s="99">
        <v>470.67</v>
      </c>
      <c r="F142" s="99">
        <f t="shared" si="7"/>
        <v>145.38</v>
      </c>
      <c r="G142" s="99">
        <f t="shared" si="8"/>
        <v>44.692428294752375</v>
      </c>
      <c r="H142" s="113"/>
    </row>
    <row r="143" spans="1:8" ht="16.5" customHeight="1" hidden="1">
      <c r="A143" s="97" t="s">
        <v>77</v>
      </c>
      <c r="B143" s="98" t="s">
        <v>235</v>
      </c>
      <c r="C143" s="28" t="s">
        <v>5</v>
      </c>
      <c r="D143" s="99">
        <v>16.8</v>
      </c>
      <c r="E143" s="99">
        <v>16.8</v>
      </c>
      <c r="F143" s="99">
        <f t="shared" si="7"/>
        <v>0</v>
      </c>
      <c r="G143" s="99">
        <f t="shared" si="8"/>
        <v>0</v>
      </c>
      <c r="H143" s="99"/>
    </row>
    <row r="144" spans="1:8" ht="15" hidden="1">
      <c r="A144" s="97" t="s">
        <v>97</v>
      </c>
      <c r="B144" s="103" t="s">
        <v>236</v>
      </c>
      <c r="C144" s="28" t="s">
        <v>5</v>
      </c>
      <c r="D144" s="99">
        <v>1138.69</v>
      </c>
      <c r="E144" s="99">
        <v>1597.75</v>
      </c>
      <c r="F144" s="99">
        <f t="shared" si="7"/>
        <v>459.05999999999995</v>
      </c>
      <c r="G144" s="99">
        <f t="shared" si="8"/>
        <v>40.31474764861375</v>
      </c>
      <c r="H144" s="99"/>
    </row>
    <row r="145" spans="1:8" ht="25.5" hidden="1">
      <c r="A145" s="97" t="s">
        <v>98</v>
      </c>
      <c r="B145" s="103" t="s">
        <v>264</v>
      </c>
      <c r="C145" s="28" t="s">
        <v>5</v>
      </c>
      <c r="D145" s="99">
        <v>144.64</v>
      </c>
      <c r="E145" s="99">
        <v>144.64</v>
      </c>
      <c r="F145" s="99">
        <f t="shared" si="7"/>
        <v>0</v>
      </c>
      <c r="G145" s="99">
        <f t="shared" si="8"/>
        <v>0</v>
      </c>
      <c r="H145" s="99"/>
    </row>
    <row r="146" spans="1:8" ht="17.25" customHeight="1" hidden="1">
      <c r="A146" s="97" t="s">
        <v>99</v>
      </c>
      <c r="B146" s="103" t="s">
        <v>96</v>
      </c>
      <c r="C146" s="28" t="s">
        <v>5</v>
      </c>
      <c r="D146" s="99">
        <v>320.96</v>
      </c>
      <c r="E146" s="99">
        <v>316.9</v>
      </c>
      <c r="F146" s="99">
        <f t="shared" si="7"/>
        <v>-4.060000000000002</v>
      </c>
      <c r="G146" s="99">
        <f t="shared" si="8"/>
        <v>-1.2649551345962122</v>
      </c>
      <c r="H146" s="99"/>
    </row>
    <row r="147" spans="1:8" ht="17.25" customHeight="1" hidden="1">
      <c r="A147" s="109" t="s">
        <v>100</v>
      </c>
      <c r="B147" s="110" t="s">
        <v>69</v>
      </c>
      <c r="C147" s="28" t="s">
        <v>70</v>
      </c>
      <c r="D147" s="99">
        <v>17077.21</v>
      </c>
      <c r="E147" s="99">
        <v>17077.23</v>
      </c>
      <c r="F147" s="99">
        <f t="shared" si="7"/>
        <v>0.020000000000436557</v>
      </c>
      <c r="G147" s="99">
        <f t="shared" si="8"/>
        <v>0.00011711514937414578</v>
      </c>
      <c r="H147" s="99"/>
    </row>
    <row r="148" spans="1:8" s="112" customFormat="1" ht="14.25" customHeight="1" hidden="1">
      <c r="A148" s="187" t="s">
        <v>122</v>
      </c>
      <c r="B148" s="189" t="s">
        <v>237</v>
      </c>
      <c r="C148" s="191" t="s">
        <v>5</v>
      </c>
      <c r="D148" s="99"/>
      <c r="E148" s="99"/>
      <c r="F148" s="99">
        <f t="shared" si="7"/>
        <v>0</v>
      </c>
      <c r="G148" s="99" t="e">
        <f t="shared" si="8"/>
        <v>#DIV/0!</v>
      </c>
      <c r="H148" s="184"/>
    </row>
    <row r="149" spans="1:8" ht="12.75" customHeight="1" hidden="1">
      <c r="A149" s="188"/>
      <c r="B149" s="190"/>
      <c r="C149" s="191"/>
      <c r="D149" s="99"/>
      <c r="E149" s="99"/>
      <c r="F149" s="99">
        <f t="shared" si="7"/>
        <v>0</v>
      </c>
      <c r="G149" s="99" t="e">
        <f t="shared" si="8"/>
        <v>#DIV/0!</v>
      </c>
      <c r="H149" s="184"/>
    </row>
    <row r="150" spans="1:8" ht="12.75" customHeight="1" hidden="1">
      <c r="A150" s="97" t="s">
        <v>125</v>
      </c>
      <c r="B150" s="98" t="s">
        <v>9</v>
      </c>
      <c r="C150" s="28" t="s">
        <v>5</v>
      </c>
      <c r="D150" s="99"/>
      <c r="E150" s="99"/>
      <c r="F150" s="99">
        <f t="shared" si="7"/>
        <v>0</v>
      </c>
      <c r="G150" s="99" t="e">
        <f t="shared" si="8"/>
        <v>#DIV/0!</v>
      </c>
      <c r="H150" s="99"/>
    </row>
    <row r="151" spans="1:8" ht="12.75" customHeight="1" hidden="1">
      <c r="A151" s="97" t="s">
        <v>128</v>
      </c>
      <c r="B151" s="98" t="s">
        <v>194</v>
      </c>
      <c r="C151" s="28" t="s">
        <v>5</v>
      </c>
      <c r="D151" s="99"/>
      <c r="E151" s="99"/>
      <c r="F151" s="99">
        <f t="shared" si="7"/>
        <v>0</v>
      </c>
      <c r="G151" s="99" t="e">
        <f t="shared" si="8"/>
        <v>#DIV/0!</v>
      </c>
      <c r="H151" s="99"/>
    </row>
    <row r="152" spans="1:8" ht="12.75" customHeight="1" hidden="1">
      <c r="A152" s="95" t="s">
        <v>60</v>
      </c>
      <c r="B152" s="96" t="s">
        <v>16</v>
      </c>
      <c r="C152" s="8" t="s">
        <v>5</v>
      </c>
      <c r="D152" s="94"/>
      <c r="E152" s="94"/>
      <c r="F152" s="99">
        <f t="shared" si="7"/>
        <v>0</v>
      </c>
      <c r="G152" s="99" t="e">
        <f t="shared" si="8"/>
        <v>#DIV/0!</v>
      </c>
      <c r="H152" s="94"/>
    </row>
    <row r="153" spans="1:8" ht="12.75" customHeight="1">
      <c r="A153" s="95" t="s">
        <v>60</v>
      </c>
      <c r="B153" s="96" t="s">
        <v>16</v>
      </c>
      <c r="C153" s="28" t="s">
        <v>70</v>
      </c>
      <c r="D153" s="94">
        <v>500198.07</v>
      </c>
      <c r="E153" s="94">
        <v>928704.47</v>
      </c>
      <c r="F153" s="94">
        <f t="shared" si="7"/>
        <v>428506.39999999997</v>
      </c>
      <c r="G153" s="94">
        <f t="shared" si="8"/>
        <v>85.66734373845144</v>
      </c>
      <c r="H153" s="94"/>
    </row>
    <row r="154" spans="1:8" ht="15" customHeight="1">
      <c r="A154" s="95" t="s">
        <v>102</v>
      </c>
      <c r="B154" s="96" t="s">
        <v>101</v>
      </c>
      <c r="C154" s="28" t="s">
        <v>5</v>
      </c>
      <c r="D154" s="99">
        <v>36836.01</v>
      </c>
      <c r="E154" s="99">
        <v>-443718.83</v>
      </c>
      <c r="F154" s="99">
        <f t="shared" si="7"/>
        <v>-480554.84</v>
      </c>
      <c r="G154" s="99">
        <f t="shared" si="8"/>
        <v>-1304.5789704150911</v>
      </c>
      <c r="H154" s="99"/>
    </row>
    <row r="155" spans="1:8" ht="15.75" customHeight="1">
      <c r="A155" s="95" t="s">
        <v>109</v>
      </c>
      <c r="B155" s="96" t="s">
        <v>103</v>
      </c>
      <c r="C155" s="8" t="s">
        <v>5</v>
      </c>
      <c r="D155" s="94">
        <v>537034.08</v>
      </c>
      <c r="E155" s="94">
        <v>484985.64</v>
      </c>
      <c r="F155" s="94">
        <f t="shared" si="7"/>
        <v>-52048.439999999944</v>
      </c>
      <c r="G155" s="94">
        <f t="shared" si="8"/>
        <v>-9.691831847989972</v>
      </c>
      <c r="H155" s="113" t="s">
        <v>271</v>
      </c>
    </row>
    <row r="156" spans="1:8" ht="15.75" customHeight="1">
      <c r="A156" s="116" t="s">
        <v>110</v>
      </c>
      <c r="B156" s="118" t="s">
        <v>104</v>
      </c>
      <c r="C156" s="8" t="s">
        <v>5</v>
      </c>
      <c r="D156" s="94">
        <v>26725.94</v>
      </c>
      <c r="E156" s="94"/>
      <c r="F156" s="99"/>
      <c r="G156" s="99"/>
      <c r="H156" s="94"/>
    </row>
    <row r="157" spans="1:9" ht="27" customHeight="1">
      <c r="A157" s="116" t="s">
        <v>111</v>
      </c>
      <c r="B157" s="118" t="s">
        <v>105</v>
      </c>
      <c r="C157" s="8" t="s">
        <v>5</v>
      </c>
      <c r="D157" s="94">
        <f>D155-D156</f>
        <v>510308.13999999996</v>
      </c>
      <c r="E157" s="94"/>
      <c r="F157" s="99"/>
      <c r="G157" s="94"/>
      <c r="H157" s="94"/>
      <c r="I157" s="85" t="s">
        <v>197</v>
      </c>
    </row>
    <row r="158" spans="1:11" ht="24.75" customHeight="1">
      <c r="A158" s="116" t="s">
        <v>112</v>
      </c>
      <c r="B158" s="119" t="s">
        <v>238</v>
      </c>
      <c r="C158" s="8" t="s">
        <v>239</v>
      </c>
      <c r="D158" s="94">
        <f>D159+D160</f>
        <v>6935.6900000000005</v>
      </c>
      <c r="E158" s="94">
        <f>E159+E160</f>
        <v>8486.109999999999</v>
      </c>
      <c r="F158" s="94">
        <f>E158-D158</f>
        <v>1550.4199999999983</v>
      </c>
      <c r="G158" s="94">
        <f>F158/D158*100</f>
        <v>22.35422863478613</v>
      </c>
      <c r="H158" s="94"/>
      <c r="K158" s="3" t="s">
        <v>197</v>
      </c>
    </row>
    <row r="159" spans="1:8" ht="25.5">
      <c r="A159" s="116" t="s">
        <v>266</v>
      </c>
      <c r="B159" s="118" t="s">
        <v>106</v>
      </c>
      <c r="C159" s="8" t="s">
        <v>239</v>
      </c>
      <c r="D159" s="94">
        <f>D59</f>
        <v>6781.6900000000005</v>
      </c>
      <c r="E159" s="94">
        <f>E59</f>
        <v>8335.64</v>
      </c>
      <c r="F159" s="94">
        <f aca="true" t="shared" si="9" ref="F159:F167">E159-D159</f>
        <v>1553.949999999999</v>
      </c>
      <c r="G159" s="94">
        <f aca="true" t="shared" si="10" ref="G159:G167">F159/D159*100</f>
        <v>22.913904941098735</v>
      </c>
      <c r="H159" s="94"/>
    </row>
    <row r="160" spans="1:8" ht="25.5" customHeight="1">
      <c r="A160" s="116" t="s">
        <v>265</v>
      </c>
      <c r="B160" s="118" t="s">
        <v>108</v>
      </c>
      <c r="C160" s="8" t="s">
        <v>239</v>
      </c>
      <c r="D160" s="94">
        <v>154</v>
      </c>
      <c r="E160" s="94">
        <v>150.47</v>
      </c>
      <c r="F160" s="94">
        <f t="shared" si="9"/>
        <v>-3.530000000000001</v>
      </c>
      <c r="G160" s="94">
        <f t="shared" si="10"/>
        <v>-2.292207792207793</v>
      </c>
      <c r="H160" s="94"/>
    </row>
    <row r="161" spans="1:8" ht="24" customHeight="1">
      <c r="A161" s="187" t="s">
        <v>113</v>
      </c>
      <c r="B161" s="185" t="s">
        <v>240</v>
      </c>
      <c r="C161" s="28" t="s">
        <v>107</v>
      </c>
      <c r="D161" s="94">
        <f>D158-D164</f>
        <v>5500</v>
      </c>
      <c r="E161" s="94">
        <f>E158-E164</f>
        <v>6729.485229999999</v>
      </c>
      <c r="F161" s="94">
        <f t="shared" si="9"/>
        <v>1229.4852299999993</v>
      </c>
      <c r="G161" s="94">
        <f t="shared" si="10"/>
        <v>22.3542769090909</v>
      </c>
      <c r="H161" s="94"/>
    </row>
    <row r="162" spans="1:8" ht="16.5" customHeight="1">
      <c r="A162" s="188"/>
      <c r="B162" s="186"/>
      <c r="C162" s="28" t="s">
        <v>5</v>
      </c>
      <c r="D162" s="94">
        <f>D157</f>
        <v>510308.13999999996</v>
      </c>
      <c r="E162" s="94">
        <f>E155</f>
        <v>484985.64</v>
      </c>
      <c r="F162" s="94">
        <f t="shared" si="9"/>
        <v>-25322.49999999994</v>
      </c>
      <c r="G162" s="94">
        <f t="shared" si="10"/>
        <v>-4.9621979378968835</v>
      </c>
      <c r="H162" s="113" t="s">
        <v>271</v>
      </c>
    </row>
    <row r="163" spans="1:8" ht="16.5" customHeight="1">
      <c r="A163" s="187" t="s">
        <v>114</v>
      </c>
      <c r="B163" s="185" t="s">
        <v>117</v>
      </c>
      <c r="C163" s="28" t="s">
        <v>118</v>
      </c>
      <c r="D163" s="99">
        <v>20.7</v>
      </c>
      <c r="E163" s="99">
        <v>20.7</v>
      </c>
      <c r="F163" s="99">
        <f t="shared" si="9"/>
        <v>0</v>
      </c>
      <c r="G163" s="99">
        <f t="shared" si="10"/>
        <v>0</v>
      </c>
      <c r="H163" s="99"/>
    </row>
    <row r="164" spans="1:8" ht="16.5" customHeight="1">
      <c r="A164" s="188"/>
      <c r="B164" s="186"/>
      <c r="C164" s="28" t="s">
        <v>107</v>
      </c>
      <c r="D164" s="99">
        <v>1435.69</v>
      </c>
      <c r="E164" s="99">
        <f>E158*20.7%</f>
        <v>1756.6247699999997</v>
      </c>
      <c r="F164" s="99">
        <f t="shared" si="9"/>
        <v>320.9347699999996</v>
      </c>
      <c r="G164" s="99">
        <f t="shared" si="10"/>
        <v>22.354043700241668</v>
      </c>
      <c r="H164" s="99"/>
    </row>
    <row r="165" spans="1:8" ht="16.5" customHeight="1" hidden="1">
      <c r="A165" s="117"/>
      <c r="B165" s="120"/>
      <c r="C165" s="28" t="s">
        <v>239</v>
      </c>
      <c r="D165" s="99"/>
      <c r="E165" s="99"/>
      <c r="F165" s="99">
        <f t="shared" si="9"/>
        <v>0</v>
      </c>
      <c r="G165" s="99" t="e">
        <f t="shared" si="10"/>
        <v>#DIV/0!</v>
      </c>
      <c r="H165" s="99"/>
    </row>
    <row r="166" spans="1:8" ht="21" customHeight="1" hidden="1">
      <c r="A166" s="95" t="s">
        <v>115</v>
      </c>
      <c r="B166" s="96" t="s">
        <v>241</v>
      </c>
      <c r="C166" s="121" t="s">
        <v>120</v>
      </c>
      <c r="D166" s="94"/>
      <c r="E166" s="94"/>
      <c r="F166" s="99">
        <f t="shared" si="9"/>
        <v>0</v>
      </c>
      <c r="G166" s="99" t="e">
        <f t="shared" si="10"/>
        <v>#DIV/0!</v>
      </c>
      <c r="H166" s="94"/>
    </row>
    <row r="167" spans="1:8" ht="21" customHeight="1">
      <c r="A167" s="95" t="s">
        <v>115</v>
      </c>
      <c r="B167" s="96" t="s">
        <v>119</v>
      </c>
      <c r="C167" s="121" t="s">
        <v>135</v>
      </c>
      <c r="D167" s="94">
        <f>D162/D161</f>
        <v>92.78329818181817</v>
      </c>
      <c r="E167" s="94">
        <f>E162/E161</f>
        <v>72.06875762769154</v>
      </c>
      <c r="F167" s="94">
        <f t="shared" si="9"/>
        <v>-20.71454055412663</v>
      </c>
      <c r="G167" s="94">
        <f t="shared" si="10"/>
        <v>-22.325721288258595</v>
      </c>
      <c r="H167" s="94"/>
    </row>
    <row r="168" spans="1:8" ht="27" customHeight="1">
      <c r="A168" s="122"/>
      <c r="B168" s="96" t="s">
        <v>121</v>
      </c>
      <c r="C168" s="28"/>
      <c r="D168" s="99"/>
      <c r="E168" s="99"/>
      <c r="F168" s="134"/>
      <c r="G168" s="94"/>
      <c r="H168" s="99"/>
    </row>
    <row r="169" spans="1:8" ht="15" customHeight="1">
      <c r="A169" s="97" t="s">
        <v>122</v>
      </c>
      <c r="B169" s="98" t="s">
        <v>242</v>
      </c>
      <c r="C169" s="28" t="s">
        <v>127</v>
      </c>
      <c r="D169" s="123">
        <f>D170+D171</f>
        <v>235</v>
      </c>
      <c r="E169" s="123">
        <f>E170+E171</f>
        <v>221</v>
      </c>
      <c r="F169" s="135">
        <f aca="true" t="shared" si="11" ref="F169:F174">E169-D169</f>
        <v>-14</v>
      </c>
      <c r="G169" s="99">
        <f aca="true" t="shared" si="12" ref="G169:G174">F169/D169*100</f>
        <v>-5.957446808510639</v>
      </c>
      <c r="H169" s="123"/>
    </row>
    <row r="170" spans="1:8" ht="15.75" customHeight="1">
      <c r="A170" s="97" t="s">
        <v>125</v>
      </c>
      <c r="B170" s="102" t="s">
        <v>243</v>
      </c>
      <c r="C170" s="28" t="s">
        <v>127</v>
      </c>
      <c r="D170" s="123">
        <v>213</v>
      </c>
      <c r="E170" s="123">
        <v>200</v>
      </c>
      <c r="F170" s="135">
        <f t="shared" si="11"/>
        <v>-13</v>
      </c>
      <c r="G170" s="99">
        <f t="shared" si="12"/>
        <v>-6.103286384976526</v>
      </c>
      <c r="H170" s="123"/>
    </row>
    <row r="171" spans="1:8" ht="15" customHeight="1">
      <c r="A171" s="97" t="s">
        <v>128</v>
      </c>
      <c r="B171" s="98" t="s">
        <v>129</v>
      </c>
      <c r="C171" s="28" t="s">
        <v>127</v>
      </c>
      <c r="D171" s="123">
        <v>22</v>
      </c>
      <c r="E171" s="123">
        <v>21</v>
      </c>
      <c r="F171" s="135">
        <f t="shared" si="11"/>
        <v>-1</v>
      </c>
      <c r="G171" s="99">
        <f t="shared" si="12"/>
        <v>-4.545454545454546</v>
      </c>
      <c r="H171" s="123"/>
    </row>
    <row r="172" spans="1:8" ht="15" customHeight="1">
      <c r="A172" s="97" t="s">
        <v>130</v>
      </c>
      <c r="B172" s="102" t="s">
        <v>244</v>
      </c>
      <c r="C172" s="28" t="s">
        <v>135</v>
      </c>
      <c r="D172" s="123">
        <f>((D69+D119)/D169)/12*1000</f>
        <v>58862.58156028368</v>
      </c>
      <c r="E172" s="123">
        <f>((E69+E119)/E169)/12*1000</f>
        <v>66344.44947209653</v>
      </c>
      <c r="F172" s="135">
        <f t="shared" si="11"/>
        <v>7481.867911812849</v>
      </c>
      <c r="G172" s="99">
        <f t="shared" si="12"/>
        <v>12.710736963091481</v>
      </c>
      <c r="H172" s="123"/>
    </row>
    <row r="173" spans="1:8" ht="16.5" customHeight="1">
      <c r="A173" s="97" t="s">
        <v>133</v>
      </c>
      <c r="B173" s="102" t="s">
        <v>243</v>
      </c>
      <c r="C173" s="28" t="s">
        <v>135</v>
      </c>
      <c r="D173" s="123">
        <f>(D69/D170)/12*1000</f>
        <v>54587.0696400626</v>
      </c>
      <c r="E173" s="123">
        <f>(E69/E170)/12*1000</f>
        <v>62269.12499999999</v>
      </c>
      <c r="F173" s="135">
        <f t="shared" si="11"/>
        <v>7682.055359937396</v>
      </c>
      <c r="G173" s="99">
        <f t="shared" si="12"/>
        <v>14.07303123357143</v>
      </c>
      <c r="H173" s="123"/>
    </row>
    <row r="174" spans="1:8" ht="16.5" customHeight="1">
      <c r="A174" s="97" t="s">
        <v>136</v>
      </c>
      <c r="B174" s="102" t="s">
        <v>129</v>
      </c>
      <c r="C174" s="28" t="s">
        <v>135</v>
      </c>
      <c r="D174" s="123">
        <f>(D119/D171)/12*1000</f>
        <v>100257.31060606061</v>
      </c>
      <c r="E174" s="123">
        <f>(E119/E171)/12*1000</f>
        <v>105157.0634920635</v>
      </c>
      <c r="F174" s="135">
        <f t="shared" si="11"/>
        <v>4899.752886002898</v>
      </c>
      <c r="G174" s="99">
        <f t="shared" si="12"/>
        <v>4.887177659547857</v>
      </c>
      <c r="H174" s="123"/>
    </row>
    <row r="175" spans="1:6" ht="14.25" customHeight="1">
      <c r="A175" s="1"/>
      <c r="B175" s="2"/>
      <c r="C175" s="2"/>
      <c r="D175" s="47"/>
      <c r="E175" s="47"/>
      <c r="F175" s="47"/>
    </row>
    <row r="176" spans="1:5" ht="15.75">
      <c r="A176" s="125" t="s">
        <v>245</v>
      </c>
      <c r="B176" s="2"/>
      <c r="C176" s="2"/>
      <c r="D176" s="47"/>
      <c r="E176" s="47"/>
    </row>
    <row r="177" spans="1:5" ht="13.5" customHeight="1">
      <c r="A177" s="125" t="s">
        <v>246</v>
      </c>
      <c r="B177" s="2"/>
      <c r="C177" s="2"/>
      <c r="D177" s="47"/>
      <c r="E177" s="47"/>
    </row>
    <row r="178" spans="1:7" ht="15.75">
      <c r="A178" s="125" t="s">
        <v>247</v>
      </c>
      <c r="B178" s="125"/>
      <c r="C178" s="125"/>
      <c r="D178" s="124"/>
      <c r="E178" s="124"/>
      <c r="G178" s="124"/>
    </row>
    <row r="179" spans="1:5" ht="15.75">
      <c r="A179" s="125" t="s">
        <v>248</v>
      </c>
      <c r="B179" s="2"/>
      <c r="C179" s="2"/>
      <c r="D179" s="47"/>
      <c r="E179" s="47"/>
    </row>
    <row r="180" spans="1:7" ht="15.75">
      <c r="A180" s="125" t="s">
        <v>249</v>
      </c>
      <c r="B180" s="2"/>
      <c r="C180" s="2"/>
      <c r="D180" s="47"/>
      <c r="E180" s="47"/>
      <c r="G180" s="124"/>
    </row>
    <row r="181" spans="2:7" ht="15.75">
      <c r="B181" s="2"/>
      <c r="C181" s="2"/>
      <c r="D181" s="47"/>
      <c r="E181" s="47"/>
      <c r="G181" s="124"/>
    </row>
    <row r="182" spans="1:7" ht="15.75">
      <c r="A182" s="2" t="s">
        <v>250</v>
      </c>
      <c r="B182" s="2"/>
      <c r="C182" s="2"/>
      <c r="D182" s="47"/>
      <c r="E182" s="47"/>
      <c r="G182" s="47"/>
    </row>
    <row r="183" spans="2:5" ht="24" customHeight="1">
      <c r="B183" s="2"/>
      <c r="C183" s="2"/>
      <c r="D183" s="47"/>
      <c r="E183" s="47"/>
    </row>
    <row r="184" spans="1:3" ht="15">
      <c r="A184" s="126" t="s">
        <v>251</v>
      </c>
      <c r="B184" s="126"/>
      <c r="C184" s="126"/>
    </row>
    <row r="186" spans="1:2" ht="15.75">
      <c r="A186" s="125" t="s">
        <v>252</v>
      </c>
      <c r="B186" s="125"/>
    </row>
  </sheetData>
  <sheetProtection/>
  <mergeCells count="33">
    <mergeCell ref="A6:H6"/>
    <mergeCell ref="A8:A12"/>
    <mergeCell ref="B8:B12"/>
    <mergeCell ref="C8:C12"/>
    <mergeCell ref="D8:D11"/>
    <mergeCell ref="E8:E11"/>
    <mergeCell ref="F8:F12"/>
    <mergeCell ref="G8:G12"/>
    <mergeCell ref="H8:H12"/>
    <mergeCell ref="A14:A15"/>
    <mergeCell ref="B14:B15"/>
    <mergeCell ref="C14:C15"/>
    <mergeCell ref="D14:D15"/>
    <mergeCell ref="E14:E15"/>
    <mergeCell ref="F14:F15"/>
    <mergeCell ref="G14:G15"/>
    <mergeCell ref="H14:H15"/>
    <mergeCell ref="A73:A75"/>
    <mergeCell ref="B73:B75"/>
    <mergeCell ref="C73:C75"/>
    <mergeCell ref="D73:D75"/>
    <mergeCell ref="E73:E75"/>
    <mergeCell ref="F73:F75"/>
    <mergeCell ref="G73:G75"/>
    <mergeCell ref="H73:H75"/>
    <mergeCell ref="H148:H149"/>
    <mergeCell ref="B161:B162"/>
    <mergeCell ref="A163:A164"/>
    <mergeCell ref="B163:B164"/>
    <mergeCell ref="A148:A149"/>
    <mergeCell ref="B148:B149"/>
    <mergeCell ref="C148:C149"/>
    <mergeCell ref="A161:A162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Dedkova</cp:lastModifiedBy>
  <cp:lastPrinted>2017-05-02T08:47:25Z</cp:lastPrinted>
  <dcterms:created xsi:type="dcterms:W3CDTF">2008-04-30T07:47:11Z</dcterms:created>
  <dcterms:modified xsi:type="dcterms:W3CDTF">2017-05-02T08:47:28Z</dcterms:modified>
  <cp:category/>
  <cp:version/>
  <cp:contentType/>
  <cp:contentStatus/>
</cp:coreProperties>
</file>